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<sst xmlns="http://schemas.openxmlformats.org/spreadsheetml/2006/main" count="3607" uniqueCount="1407">
  <si>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</si>
  <si>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</si>
  <si>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</si>
  <si>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</si>
  <si>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</si>
  <si>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</si>
  <si>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</si>
  <si>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</si>
  <si>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</si>
  <si>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</si>
  <si>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</si>
  <si>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</si>
  <si>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</si>
  <si>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</si>
  <si>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</si>
  <si>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</si>
  <si>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</si>
  <si>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</si>
  <si>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</si>
  <si>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</si>
  <si>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</si>
  <si>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</si>
  <si>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</si>
  <si>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</si>
  <si>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</si>
  <si>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</si>
  <si>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</si>
  <si>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</si>
  <si>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</si>
  <si>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</si>
  <si>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</si>
  <si>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</si>
  <si>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</si>
  <si>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</si>
  <si>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</si>
  <si>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</si>
  <si>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</si>
  <si>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</si>
  <si>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</si>
  <si>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</si>
  <si>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</si>
  <si>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</si>
  <si>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</si>
  <si>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</si>
  <si>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</si>
  <si>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</si>
  <si>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</si>
  <si>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</si>
  <si>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</si>
  <si>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</si>
  <si>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</si>
  <si>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</si>
  <si>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</si>
  <si>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</si>
  <si>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</si>
  <si>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</si>
  <si>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</si>
  <si>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</si>
  <si>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</si>
  <si>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</si>
  <si>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</si>
  <si>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</si>
  <si>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</si>
  <si>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</si>
  <si>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</si>
  <si>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</si>
  <si>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</si>
  <si>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</si>
  <si>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</si>
  <si>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</si>
  <si>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</si>
  <si>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</si>
  <si>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</si>
  <si>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</si>
  <si>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</si>
  <si>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</si>
  <si>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</si>
  <si>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</si>
  <si>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</si>
  <si>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</si>
  <si>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</si>
  <si>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</si>
  <si>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</si>
  <si>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</si>
  <si>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</si>
  <si>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</si>
  <si>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</si>
  <si>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</si>
  <si>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</si>
  <si>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</si>
  <si>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</si>
  <si>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</si>
  <si>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</si>
  <si>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</si>
  <si>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</si>
  <si>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</si>
  <si>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</si>
  <si>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</si>
  <si>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</si>
  <si>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</si>
  <si>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</si>
  <si>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</si>
  <si>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</si>
  <si>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</si>
  <si>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</si>
  <si>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</si>
  <si>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</si>
  <si>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</si>
  <si>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</si>
  <si>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</si>
  <si>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</si>
  <si>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</si>
  <si>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</si>
  <si>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</si>
  <si>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</si>
  <si>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</si>
  <si>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</si>
  <si>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</si>
  <si>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</si>
  <si>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</si>
  <si>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</si>
  <si>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</si>
  <si>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</si>
  <si>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</si>
  <si>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</si>
  <si>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</si>
  <si>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</si>
  <si>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</si>
  <si>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</si>
  <si>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</si>
  <si>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</si>
  <si>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</si>
  <si>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</si>
  <si>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</si>
  <si>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</si>
  <si>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</si>
  <si>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</si>
  <si>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</si>
  <si>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</si>
  <si>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</si>
  <si>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</si>
  <si>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</si>
  <si>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</si>
  <si>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</si>
  <si>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</si>
  <si>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</si>
  <si>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</si>
  <si>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</si>
  <si>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</si>
  <si>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</si>
  <si>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</si>
  <si>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</si>
  <si>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</si>
  <si>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</si>
  <si>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</si>
  <si>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</si>
  <si>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</si>
  <si>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</si>
  <si>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</si>
  <si>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</si>
  <si>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</si>
  <si>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</si>
  <si>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</si>
  <si>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</si>
  <si>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</si>
  <si>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</si>
  <si>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</si>
  <si>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</si>
  <si>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</si>
  <si>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</si>
  <si>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</si>
  <si>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</si>
  <si>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</si>
  <si>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</si>
  <si>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</si>
  <si>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</si>
  <si>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</si>
  <si>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</si>
  <si>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</si>
  <si>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</si>
  <si>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</si>
  <si>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</si>
  <si>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</si>
  <si>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</si>
  <si>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</si>
  <si>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</si>
  <si>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</si>
  <si>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</si>
  <si>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</si>
  <si>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</si>
  <si>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</si>
  <si>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</si>
  <si>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</si>
  <si>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</si>
  <si>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</si>
  <si>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</si>
  <si>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</si>
  <si>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</si>
  <si>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</si>
  <si>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</si>
  <si>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</si>
  <si>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</si>
  <si>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</si>
  <si>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</si>
  <si>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</si>
  <si>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</si>
  <si>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</si>
  <si>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</si>
  <si>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</si>
  <si>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</si>
  <si>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</si>
  <si>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</si>
  <si>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</si>
  <si>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</si>
  <si>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</si>
  <si>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</si>
  <si>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</si>
  <si>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</si>
  <si>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</si>
  <si>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</si>
  <si>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</si>
  <si>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</si>
  <si>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</si>
  <si>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</si>
  <si>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</si>
  <si>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</si>
  <si>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</si>
  <si>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</si>
  <si>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</si>
  <si>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</si>
  <si>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</si>
  <si>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</si>
  <si>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</si>
  <si>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</si>
  <si>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</si>
  <si>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</si>
  <si>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</si>
  <si>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</si>
  <si>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</si>
  <si>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</si>
  <si>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</si>
  <si>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</si>
  <si>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</si>
  <si>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</si>
  <si>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</si>
  <si>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</si>
  <si>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</si>
  <si>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</si>
  <si>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</si>
  <si>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</si>
  <si>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</si>
  <si>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</si>
  <si>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</si>
  <si>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</si>
  <si>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</si>
  <si>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</si>
  <si>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</si>
  <si>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</si>
  <si>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</si>
  <si>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</si>
  <si>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</si>
  <si>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</si>
  <si>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</si>
  <si>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</si>
  <si>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</si>
  <si>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</si>
  <si>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</si>
  <si>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</si>
  <si>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</si>
  <si>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</si>
  <si>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</si>
  <si>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</si>
  <si>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</si>
  <si>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</si>
  <si>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</si>
  <si>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</si>
  <si>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</si>
  <si>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</si>
  <si>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</si>
  <si>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</si>
  <si>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</si>
  <si>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</si>
  <si>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</si>
  <si>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</si>
  <si>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</si>
  <si>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</si>
  <si>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</si>
  <si>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</si>
  <si>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</si>
  <si>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</si>
  <si>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</si>
  <si>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</si>
  <si>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</si>
  <si>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</si>
  <si>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</si>
  <si>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</si>
  <si>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</si>
  <si>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</si>
  <si>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</si>
  <si>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</si>
  <si>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</si>
  <si>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</si>
  <si>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</si>
  <si>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</si>
  <si>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</si>
  <si>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</si>
  <si>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</si>
  <si>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</si>
  <si>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</si>
  <si>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</si>
  <si>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</si>
  <si>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</si>
  <si>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</si>
  <si>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</si>
  <si>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</si>
  <si>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</si>
  <si>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</si>
  <si>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</si>
  <si>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</si>
  <si>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</si>
  <si>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</si>
  <si>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</si>
  <si>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</si>
  <si>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</si>
  <si>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</si>
  <si>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</si>
  <si>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</si>
  <si>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</si>
  <si>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</si>
  <si>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</si>
  <si>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</si>
  <si>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</si>
  <si>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</si>
  <si>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</si>
  <si>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</si>
  <si>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</si>
  <si>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</si>
  <si>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</si>
  <si>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</si>
  <si>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</si>
  <si>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</si>
  <si>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</si>
  <si>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</si>
  <si>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</si>
  <si>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</si>
  <si>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</si>
  <si>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</si>
  <si>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</si>
  <si>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</si>
  <si>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</si>
  <si>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</si>
  <si>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</si>
  <si>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</si>
  <si>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</si>
  <si>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</si>
  <si>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</si>
  <si>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</si>
  <si>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</si>
  <si>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</si>
  <si>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</si>
  <si>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</si>
  <si>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</si>
  <si>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</si>
  <si>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</si>
  <si>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</si>
  <si>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</si>
  <si>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</si>
  <si>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</si>
  <si>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</si>
  <si>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</si>
  <si>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</si>
  <si>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</si>
  <si>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</si>
  <si>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</si>
  <si>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</si>
  <si>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</si>
  <si>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</si>
  <si>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</si>
  <si>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</si>
  <si>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</si>
  <si>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</si>
  <si>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</si>
  <si>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</si>
  <si>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</si>
  <si>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</si>
  <si>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</si>
  <si>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</si>
  <si>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</si>
  <si>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</si>
  <si>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</si>
  <si>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</si>
  <si>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</si>
  <si>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</si>
  <si>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</si>
  <si>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</si>
  <si>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</si>
  <si>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</si>
  <si>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</si>
  <si>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</si>
  <si>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</si>
  <si>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</si>
  <si>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</si>
  <si>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</si>
  <si>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</si>
  <si>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</si>
  <si>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</si>
  <si>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</si>
  <si>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</si>
  <si>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</si>
  <si>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</si>
  <si>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</si>
  <si>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</si>
  <si>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</si>
  <si>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</si>
  <si>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</si>
  <si>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</si>
  <si>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</si>
  <si>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</si>
  <si>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</si>
  <si>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</si>
  <si>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</si>
  <si>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</si>
  <si>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</si>
  <si>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</si>
  <si>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</si>
  <si>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</si>
  <si>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</si>
  <si>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</si>
  <si>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</si>
  <si>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</si>
  <si>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</si>
  <si>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</si>
  <si>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</si>
  <si>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</si>
  <si>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</si>
  <si>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</si>
  <si>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</si>
  <si>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</si>
  <si>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</si>
  <si>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</si>
  <si>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</si>
  <si>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</si>
  <si>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</si>
  <si>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</si>
  <si>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</si>
  <si>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</si>
  <si>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</si>
  <si>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</si>
  <si>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</si>
  <si>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</si>
  <si>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</si>
  <si>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</si>
  <si>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</si>
  <si>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</si>
  <si>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</si>
  <si>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</si>
  <si>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</si>
  <si>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</si>
  <si>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</si>
  <si>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</si>
  <si>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</si>
  <si>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</si>
  <si>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</si>
  <si>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</si>
  <si>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</si>
  <si>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</si>
  <si>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</si>
  <si>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</si>
  <si>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</si>
  <si>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</si>
  <si>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</si>
  <si>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</si>
  <si>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</si>
  <si>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</si>
  <si>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</si>
  <si>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</si>
  <si>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</si>
  <si>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</si>
  <si>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</si>
  <si>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</si>
  <si>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</si>
  <si>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</si>
  <si>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</si>
  <si>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</si>
  <si>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</si>
  <si>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</si>
  <si>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</si>
  <si>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</si>
  <si>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</si>
  <si>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</si>
  <si>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</si>
  <si>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</si>
  <si>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</si>
  <si>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</si>
  <si>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</si>
  <si>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</si>
  <si>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</si>
  <si>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</si>
  <si>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</si>
  <si>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</si>
  <si>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</si>
  <si>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</si>
  <si>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</si>
  <si>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</si>
  <si>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</si>
  <si>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</si>
  <si>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</si>
  <si>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</si>
  <si>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</si>
  <si>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</si>
  <si>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</si>
  <si>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</si>
  <si>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</si>
  <si>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</si>
  <si>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</si>
  <si>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</si>
  <si>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</si>
  <si>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</si>
  <si>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</si>
  <si>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</si>
  <si>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</si>
  <si>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</si>
  <si>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</si>
  <si>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</si>
  <si>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</si>
  <si>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</si>
  <si>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</si>
  <si>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</si>
  <si>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</si>
  <si>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</si>
  <si>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</si>
  <si>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</si>
  <si>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</si>
  <si>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</si>
  <si>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</si>
  <si>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</si>
  <si>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</si>
  <si>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</si>
  <si>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</si>
  <si>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</si>
  <si>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</si>
  <si>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</si>
  <si>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</si>
  <si>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</si>
  <si>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</si>
  <si>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</si>
  <si>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</si>
  <si>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</si>
  <si>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</si>
  <si>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</si>
  <si>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</si>
  <si>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</si>
  <si>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</si>
  <si>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</si>
  <si>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</si>
  <si>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</si>
  <si>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</si>
  <si>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</si>
  <si>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</si>
  <si>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</si>
  <si>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</si>
  <si>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</si>
  <si>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</si>
  <si>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</si>
  <si>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</si>
  <si>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</si>
  <si>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</si>
  <si>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</si>
  <si>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</si>
  <si>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</si>
  <si>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</si>
  <si>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</si>
  <si>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</si>
  <si>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</si>
  <si>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</si>
  <si>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</si>
  <si>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</si>
  <si>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</si>
  <si>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</si>
  <si>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</si>
  <si>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</si>
  <si>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</si>
  <si>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</si>
  <si>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</si>
  <si>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</si>
  <si>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</si>
  <si>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</si>
  <si>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</si>
  <si>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</si>
  <si>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</si>
  <si>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</si>
  <si>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</si>
  <si>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</si>
  <si>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</si>
  <si>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</si>
  <si>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</si>
  <si>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</si>
  <si>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</si>
  <si>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</si>
  <si>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</si>
  <si>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</si>
  <si>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</si>
  <si>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</si>
  <si>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</si>
  <si>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</si>
  <si>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</si>
  <si>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</si>
  <si>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</si>
  <si>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</si>
  <si>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</si>
  <si>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</si>
  <si>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</si>
  <si>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</si>
  <si>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</si>
  <si>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</si>
  <si>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</si>
  <si>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</si>
  <si>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</si>
  <si>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</si>
  <si>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</si>
  <si>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</si>
  <si>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</si>
  <si>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</si>
  <si>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</si>
  <si>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</si>
  <si>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</si>
  <si>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</si>
  <si>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</si>
  <si>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</si>
  <si>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</si>
  <si>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</si>
  <si>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</si>
  <si>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</si>
  <si>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</si>
  <si>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</si>
  <si>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</si>
  <si>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</si>
  <si>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</si>
  <si>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</si>
  <si>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</si>
  <si>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</si>
  <si>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</si>
  <si>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</si>
  <si>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</si>
  <si>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</si>
  <si>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</si>
  <si>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</si>
  <si>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</si>
  <si>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</si>
  <si>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</si>
  <si>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</si>
  <si>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</si>
  <si>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</si>
  <si>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</si>
  <si>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</si>
  <si>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</si>
  <si>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</si>
  <si>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</si>
  <si>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</si>
  <si>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</si>
  <si>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</si>
  <si>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</si>
  <si>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</si>
  <si>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</si>
  <si>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</si>
  <si>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</si>
  <si>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</si>
  <si>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</si>
  <si>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</si>
  <si>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</si>
  <si>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</si>
  <si>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</si>
  <si>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</si>
  <si>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</si>
  <si>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</si>
  <si>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</si>
  <si>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</si>
  <si>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</si>
  <si>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</si>
  <si>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</si>
  <si>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</si>
  <si>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</si>
  <si>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</si>
  <si>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</si>
  <si>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</si>
  <si>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</si>
  <si>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</si>
  <si>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</si>
  <si>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</si>
  <si>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</si>
  <si>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</si>
  <si>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</si>
  <si>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</si>
  <si>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</si>
  <si>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</si>
  <si>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</si>
  <si>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</si>
  <si>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</si>
  <si>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</si>
  <si>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</si>
  <si>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</si>
  <si>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</si>
  <si>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</si>
  <si>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</si>
  <si>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</si>
  <si>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</si>
  <si>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</si>
  <si>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</si>
  <si>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</si>
  <si>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</si>
  <si>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</si>
  <si>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</si>
  <si>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</si>
  <si>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</si>
  <si>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</si>
  <si>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</si>
  <si>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</si>
  <si>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</si>
  <si>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</si>
  <si>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</si>
  <si>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</si>
  <si>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</si>
  <si>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</si>
  <si>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</si>
  <si>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</si>
  <si>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</si>
  <si>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</si>
  <si>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</si>
  <si>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</si>
  <si>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</si>
  <si>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</si>
  <si>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</si>
  <si>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</si>
  <si>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</si>
  <si>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</si>
  <si>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</si>
  <si>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</si>
  <si>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</si>
  <si>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</si>
  <si>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</si>
  <si>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</si>
  <si>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</si>
  <si>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</si>
  <si>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</si>
  <si>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</si>
  <si>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</si>
  <si>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</si>
  <si>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</si>
  <si>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</si>
  <si>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</si>
  <si>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</si>
  <si>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</si>
  <si>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</si>
  <si>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</si>
  <si>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</si>
  <si>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</si>
  <si>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</si>
  <si>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</si>
  <si>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</si>
  <si>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</si>
  <si>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</si>
  <si>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</si>
  <si>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</si>
  <si>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</si>
  <si>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</si>
  <si>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</si>
  <si>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</si>
  <si>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</si>
  <si>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</si>
  <si>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</si>
  <si>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</si>
  <si>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</si>
  <si>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</si>
  <si>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</si>
  <si>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</si>
  <si>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</si>
  <si>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</si>
  <si>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</si>
  <si>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</si>
  <si>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</si>
  <si>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</si>
  <si>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</si>
  <si>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</si>
  <si>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</si>
  <si>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</si>
  <si>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</si>
  <si>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</si>
  <si>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</si>
  <si>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</si>
  <si>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</si>
  <si>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</si>
  <si>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</si>
  <si>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</si>
  <si>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</si>
  <si>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</si>
  <si>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</si>
  <si>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</si>
  <si>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</si>
  <si>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</si>
  <si>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</si>
  <si>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</si>
  <si>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</si>
  <si>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</si>
  <si>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</si>
  <si>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</si>
  <si>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</si>
  <si>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</si>
  <si>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</si>
  <si>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</si>
  <si>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</si>
  <si>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</si>
  <si>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</si>
  <si>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</si>
  <si>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</si>
  <si>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</si>
  <si>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</si>
  <si>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</si>
  <si>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</si>
  <si>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</si>
  <si>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</si>
  <si>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</si>
  <si>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</si>
  <si>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</si>
  <si>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</si>
  <si>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</si>
  <si>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</si>
  <si>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</si>
  <si>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</si>
  <si>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</si>
  <si>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</si>
  <si>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</si>
  <si>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</si>
  <si>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</si>
  <si>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</si>
  <si>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</si>
  <si>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</si>
  <si>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</si>
  <si>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</si>
  <si>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</si>
  <si>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</si>
  <si>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</si>
  <si>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</si>
  <si>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</si>
  <si>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</si>
  <si>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</si>
  <si>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</si>
  <si>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</si>
  <si>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</si>
  <si>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</si>
  <si>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</si>
  <si>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</si>
  <si>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</si>
  <si>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</si>
  <si>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</si>
  <si>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</si>
  <si>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</si>
  <si>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</si>
  <si>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</si>
  <si>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</si>
  <si>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</si>
  <si>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</si>
  <si>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</si>
  <si>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</si>
  <si>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</si>
  <si>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</si>
  <si>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</si>
  <si>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</si>
  <si>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</si>
  <si>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</si>
  <si>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</si>
  <si>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</si>
  <si>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</si>
  <si>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</si>
  <si>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</si>
  <si>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</si>
  <si>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</si>
  <si>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</si>
  <si>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</si>
  <si>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</si>
  <si>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</si>
  <si>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</si>
  <si>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</si>
  <si>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</si>
  <si>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</si>
  <si>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</si>
  <si>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</si>
  <si>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</si>
  <si>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</si>
  <si>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</si>
  <si>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</si>
  <si>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</si>
  <si>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</si>
  <si>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</si>
  <si>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</si>
  <si>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</si>
  <si>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</si>
  <si>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</si>
  <si>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</si>
  <si>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</si>
  <si>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</si>
  <si>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</si>
  <si>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</si>
  <si>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</si>
  <si>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</si>
  <si>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</si>
  <si>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</si>
  <si>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</si>
  <si>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</si>
  <si>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</si>
  <si>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</si>
  <si>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</si>
  <si>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</si>
  <si>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</si>
  <si>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</si>
  <si>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</si>
  <si>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</si>
  <si>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</si>
  <si>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</si>
  <si>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</si>
  <si>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</si>
  <si>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</si>
  <si>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</si>
  <si>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</si>
  <si>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</si>
  <si>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</si>
  <si>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</si>
  <si>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</si>
  <si>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</si>
  <si>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</si>
  <si>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</si>
  <si>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</si>
  <si>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</si>
  <si>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</si>
  <si>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</si>
  <si>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</si>
  <si>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</si>
  <si>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</si>
  <si>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</si>
  <si>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</si>
  <si>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</si>
  <si>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</si>
  <si>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</si>
  <si>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</si>
  <si>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</si>
  <si>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</si>
  <si>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</si>
  <si>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</si>
  <si>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</si>
  <si>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</si>
  <si>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</si>
  <si>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</si>
  <si>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</si>
  <si>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</si>
  <si>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</si>
  <si>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</si>
  <si>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</si>
  <si>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</si>
  <si>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</si>
  <si>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</si>
  <si>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</si>
  <si>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</si>
  <si>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</si>
  <si>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</si>
  <si>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</si>
  <si>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</si>
  <si>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</si>
  <si>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</si>
  <si>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</si>
  <si>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</si>
  <si>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</si>
  <si>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</si>
  <si>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</si>
  <si>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</si>
  <si>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</si>
  <si>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</si>
  <si>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</si>
  <si>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</si>
  <si>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</si>
  <si>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</si>
  <si>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</si>
  <si>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</si>
  <si>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</si>
  <si>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</si>
  <si>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</si>
  <si>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</si>
  <si>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</si>
  <si>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</si>
  <si>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</si>
  <si>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</si>
  <si>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</si>
  <si>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</si>
  <si>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</si>
  <si>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</si>
  <si>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</si>
  <si>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</si>
  <si>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</si>
  <si>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</si>
  <si>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</si>
  <si>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</si>
  <si>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</si>
  <si>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</si>
  <si>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</si>
  <si>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</si>
  <si>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</si>
  <si>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</si>
  <si>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</si>
  <si>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</si>
  <si>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</si>
  <si>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</si>
  <si>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</si>
  <si>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removed 13 Oct 2026 (program dropped); APA is the only subsidiary.</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</si>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</sst>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center" vertical="bottom" textRotation="0" wrapText="false" indent="0" shrinkToFit="false"/>
      <protection locked="true" hidden="false"/>
    </xf>
    <xf numFmtId="166" fontId="6" fillId="2" borderId="0" xfId="0" applyFont="true" applyBorder="false" applyAlignment="true" applyProtection="true">
      <alignment horizontal="general" vertical="bottom" textRotation="0" wrapText="false" indent="0" shrinkToFit="false"/>
      <protection locked="true" hidden="false"/>
    </xf>
    <xf numFmtId="166" fontId="7" fillId="2"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general" vertical="bottom" textRotation="0" wrapText="false" indent="0" shrinkToFit="false"/>
      <protection locked="true" hidden="false"/>
    </xf>
    <xf numFmtId="167" fontId="11" fillId="2" borderId="0" xfId="0" applyFont="true" applyBorder="false" applyAlignment="true" applyProtection="true">
      <alignment horizontal="right"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7" fontId="12" fillId="3" borderId="0" xfId="0" applyFont="true" applyBorder="fals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true" indent="0" shrinkToFit="false"/>
      <protection locked="true" hidden="false"/>
    </xf>
    <xf numFmtId="167" fontId="7"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center" vertical="bottom" textRotation="0" wrapText="true" indent="0" shrinkToFit="false"/>
      <protection locked="true" hidden="false"/>
    </xf>
    <xf numFmtId="167" fontId="7" fillId="2" borderId="0" xfId="0" applyFont="true" applyBorder="fals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7" fontId="5" fillId="4" borderId="0" xfId="0" applyFont="true" applyBorder="false" applyAlignment="true" applyProtection="true">
      <alignment horizontal="left" vertical="bottom" textRotation="0" wrapText="false" indent="0" shrinkToFit="false"/>
      <protection locked="true" hidden="false"/>
    </xf>
    <xf numFmtId="167" fontId="5" fillId="4" borderId="0" xfId="0" applyFont="true" applyBorder="false" applyAlignment="true" applyProtection="true">
      <alignment horizontal="general" vertical="bottom" textRotation="0" wrapText="false" indent="0" shrinkToFit="false"/>
      <protection locked="true" hidden="false"/>
    </xf>
    <xf numFmtId="167" fontId="14" fillId="4"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1" shrinkToFit="false"/>
      <protection locked="true" hidden="false"/>
    </xf>
    <xf numFmtId="164" fontId="10" fillId="5" borderId="1" xfId="0" applyFont="true" applyBorder="true" applyAlignment="true" applyProtection="true">
      <alignment horizontal="general" vertical="bottom" textRotation="0" wrapText="false" indent="0" shrinkToFit="false"/>
      <protection locked="true" hidden="false"/>
    </xf>
    <xf numFmtId="167" fontId="10" fillId="5" borderId="1" xfId="0" applyFont="true" applyBorder="true" applyAlignment="true" applyProtection="true">
      <alignment horizontal="general" vertical="bottom" textRotation="0" wrapText="false" indent="0" shrinkToFit="false"/>
      <protection locked="true" hidden="false"/>
    </xf>
    <xf numFmtId="164" fontId="15" fillId="5" borderId="1" xfId="0" applyFont="true" applyBorder="true" applyAlignment="true" applyProtection="true">
      <alignment horizontal="general" vertical="bottom" textRotation="0" wrapText="false" indent="0" shrinkToFit="false"/>
      <protection locked="true" hidden="false"/>
    </xf>
    <xf numFmtId="167" fontId="16" fillId="5" borderId="1" xfId="0" applyFont="true" applyBorder="true" applyAlignment="true" applyProtection="true">
      <alignment horizontal="general" vertical="bottom" textRotation="0" wrapText="false" indent="0" shrinkToFit="false"/>
      <protection locked="true" hidden="false"/>
    </xf>
    <xf numFmtId="168" fontId="11" fillId="2"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0" fillId="6" borderId="1" xfId="0" applyFont="true" applyBorder="true" applyAlignment="true" applyProtection="true">
      <alignment horizontal="general" vertical="bottom" textRotation="0" wrapText="false" indent="0" shrinkToFit="false"/>
      <protection locked="true" hidden="false"/>
    </xf>
    <xf numFmtId="167" fontId="10" fillId="6" borderId="1"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true" indent="0" shrinkToFit="false"/>
      <protection locked="true" hidden="false"/>
    </xf>
    <xf numFmtId="167" fontId="10" fillId="3" borderId="0" xfId="0" applyFont="true" applyBorder="false" applyAlignment="true" applyProtection="true">
      <alignment horizontal="center" vertical="bottom" textRotation="0" wrapText="tru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8" fillId="5" borderId="1" xfId="0" applyFont="true" applyBorder="true" applyAlignment="true" applyProtection="true">
      <alignment horizontal="general" vertical="bottom" textRotation="0" wrapText="false" indent="0" shrinkToFit="false"/>
      <protection locked="true" hidden="false"/>
    </xf>
    <xf numFmtId="164" fontId="9" fillId="6" borderId="1" xfId="0" applyFont="true" applyBorder="tru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tru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7" fontId="7" fillId="5" borderId="1" xfId="0" applyFont="true" applyBorder="tru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7" fontId="7" fillId="7"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7" fontId="10" fillId="3"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7" fontId="7" fillId="2" borderId="2" xfId="0" applyFont="true" applyBorder="true" applyAlignment="true" applyProtection="true">
      <alignment horizontal="right" vertical="bottom" textRotation="0" wrapText="false" indent="0" shrinkToFit="false"/>
      <protection locked="true" hidden="false"/>
    </xf>
    <xf numFmtId="164" fontId="10" fillId="8" borderId="3" xfId="0" applyFont="true" applyBorder="true" applyAlignment="true" applyProtection="true">
      <alignment horizontal="general" vertical="bottom" textRotation="0" wrapText="false" indent="0" shrinkToFit="false"/>
      <protection locked="true" hidden="false"/>
    </xf>
    <xf numFmtId="167" fontId="10" fillId="8" borderId="3" xfId="0" applyFont="true" applyBorder="tru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7" fontId="7" fillId="5" borderId="0" xfId="0" applyFont="true" applyBorder="false" applyAlignment="true" applyProtection="true">
      <alignment horizontal="right" vertical="bottom" textRotation="0" wrapText="false" indent="0" shrinkToFit="false"/>
      <protection locked="true" hidden="false"/>
    </xf>
    <xf numFmtId="164" fontId="7" fillId="5" borderId="2" xfId="0" applyFont="true" applyBorder="true" applyAlignment="true" applyProtection="true">
      <alignment horizontal="general" vertical="bottom" textRotation="0" wrapText="false" indent="0" shrinkToFit="false"/>
      <protection locked="true" hidden="false"/>
    </xf>
    <xf numFmtId="167" fontId="7" fillId="5" borderId="2" xfId="0" applyFont="true" applyBorder="true" applyAlignment="true" applyProtection="true">
      <alignment horizontal="right" vertical="bottom" textRotation="0" wrapText="false" indent="0" shrinkToFit="false"/>
      <protection locked="true" hidden="false"/>
    </xf>
    <xf numFmtId="164" fontId="10" fillId="8" borderId="2" xfId="0" applyFont="true" applyBorder="true" applyAlignment="true" applyProtection="true">
      <alignment horizontal="general" vertical="bottom" textRotation="0" wrapText="false" indent="0" shrinkToFit="false"/>
      <protection locked="true" hidden="false"/>
    </xf>
    <xf numFmtId="167" fontId="10" fillId="8" borderId="2" xfId="0" applyFont="true" applyBorder="true" applyAlignment="true" applyProtection="true">
      <alignment horizontal="right" vertical="bottom" textRotation="0" wrapText="false" indent="0" shrinkToFit="false"/>
      <protection locked="true" hidden="false"/>
    </xf>
    <xf numFmtId="164" fontId="10" fillId="7" borderId="0" xfId="0" applyFont="true" applyBorder="false" applyAlignment="true" applyProtection="true">
      <alignment horizontal="general" vertical="bottom" textRotation="0" wrapText="false" indent="0" shrinkToFit="false"/>
      <protection locked="true" hidden="false"/>
    </xf>
    <xf numFmtId="167" fontId="10" fillId="7" borderId="0" xfId="0" applyFont="true" applyBorder="false" applyAlignment="true" applyProtection="true">
      <alignment horizontal="right" vertical="bottom" textRotation="0" wrapText="false" indent="0" shrinkToFit="false"/>
      <protection locked="true" hidden="false"/>
    </xf>
    <xf numFmtId="164" fontId="5" fillId="3" borderId="4" xfId="0" applyFont="true" applyBorder="true" applyAlignment="true" applyProtection="true">
      <alignment horizontal="center" vertical="bottom" textRotation="0" wrapText="true" indent="0" shrinkToFit="false"/>
      <protection locked="true" hidden="false"/>
    </xf>
    <xf numFmtId="167" fontId="10" fillId="3" borderId="4" xfId="0" applyFont="true" applyBorder="true" applyAlignment="true" applyProtection="true">
      <alignment horizontal="center" vertical="bottom" textRotation="0" wrapText="true" indent="0" shrinkToFit="false"/>
      <protection locked="true" hidden="false"/>
    </xf>
    <xf numFmtId="164" fontId="5" fillId="7" borderId="0" xfId="0" applyFont="true" applyBorder="false" applyAlignment="true" applyProtection="true">
      <alignment horizontal="center" vertical="bottom" textRotation="0" wrapText="true" indent="0" shrinkToFit="false"/>
      <protection locked="true" hidden="false"/>
    </xf>
    <xf numFmtId="167" fontId="10" fillId="7" borderId="0" xfId="0" applyFont="true" applyBorder="false" applyAlignment="true" applyProtection="true">
      <alignment horizontal="center" vertical="bottom" textRotation="0" wrapText="true" indent="0" shrinkToFit="false"/>
      <protection locked="true" hidden="false"/>
    </xf>
    <xf numFmtId="164" fontId="10" fillId="9" borderId="1" xfId="0" applyFont="true" applyBorder="true" applyAlignment="true" applyProtection="true">
      <alignment horizontal="general" vertical="bottom" textRotation="0" wrapText="false" indent="0" shrinkToFit="false"/>
      <protection locked="true" hidden="false"/>
    </xf>
    <xf numFmtId="167" fontId="10" fillId="9" borderId="1" xfId="0" applyFont="true" applyBorder="tru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7" fontId="22" fillId="2" borderId="0" xfId="0" applyFont="true" applyBorder="false" applyAlignment="true" applyProtection="true">
      <alignment horizontal="general" vertical="bottom" textRotation="0" wrapText="false" indent="0" shrinkToFit="false"/>
      <protection locked="true" hidden="false"/>
    </xf>
    <xf numFmtId="169" fontId="7" fillId="2" borderId="0" xfId="0" applyFont="true" applyBorder="fals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16" fillId="5" borderId="1" xfId="0" applyFont="true" applyBorder="true" applyAlignment="true" applyProtection="true">
      <alignment horizontal="general" vertical="bottom" textRotation="0" wrapText="false" indent="0" shrinkToFit="false"/>
      <protection locked="true" hidden="false"/>
    </xf>
    <xf numFmtId="168" fontId="7"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7" fontId="17" fillId="2" borderId="0" xfId="0" applyFont="true" applyBorder="false" applyAlignment="true" applyProtection="true">
      <alignment horizontal="general" vertical="bottom" textRotation="0" wrapText="fals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7" fillId="9" borderId="1" xfId="0" applyFont="true" applyBorder="true" applyAlignment="true" applyProtection="true">
      <alignment horizontal="general" vertical="bottom" textRotation="0" wrapText="false" indent="0" shrinkToFit="false"/>
      <protection locked="true" hidden="false"/>
    </xf>
    <xf numFmtId="167" fontId="7" fillId="9" borderId="1" xfId="0" applyFont="true" applyBorder="tru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bottom" textRotation="0" wrapText="false" indent="0" shrinkToFit="false"/>
      <protection locked="true" hidden="false"/>
    </xf>
    <xf numFmtId="164" fontId="25" fillId="4" borderId="0" xfId="0" applyFont="true" applyBorder="false" applyAlignment="true" applyProtection="true">
      <alignment horizontal="center" vertical="bottom" textRotation="0" wrapText="false" indent="0" shrinkToFit="false"/>
      <protection locked="true" hidden="false"/>
    </xf>
    <xf numFmtId="164" fontId="10" fillId="5" borderId="5" xfId="0" applyFont="true" applyBorder="true" applyAlignment="true" applyProtection="true">
      <alignment horizontal="general" vertical="bottom" textRotation="0" wrapText="false" indent="0" shrinkToFit="false"/>
      <protection locked="true" hidden="false"/>
    </xf>
    <xf numFmtId="167" fontId="26" fillId="5" borderId="5" xfId="0" applyFont="true" applyBorder="true" applyAlignment="true" applyProtection="true">
      <alignment horizontal="general" vertical="bottom" textRotation="0" wrapText="false" indent="0" shrinkToFit="false"/>
      <protection locked="true" hidden="false"/>
    </xf>
    <xf numFmtId="168" fontId="10" fillId="2"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7" fontId="10" fillId="5" borderId="5" xfId="0" applyFont="true" applyBorder="true" applyAlignment="true" applyProtection="true">
      <alignment horizontal="general" vertical="bottom" textRotation="0" wrapText="false" indent="0" shrinkToFit="false"/>
      <protection locked="true" hidden="false"/>
    </xf>
    <xf numFmtId="167" fontId="27" fillId="2" borderId="0" xfId="0" applyFont="true" applyBorder="false" applyAlignment="true" applyProtection="true">
      <alignment horizontal="general" vertical="bottom" textRotation="0" wrapText="false" indent="0" shrinkToFit="false"/>
      <protection locked="true" hidden="false"/>
    </xf>
    <xf numFmtId="170" fontId="7"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1" fontId="25" fillId="3" borderId="6"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2" fontId="29"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8" fontId="29" fillId="0" borderId="0" xfId="0" applyFont="true" applyBorder="false" applyAlignment="true" applyProtection="true">
      <alignment horizontal="right" vertical="bottom" textRotation="0" wrapText="false" indent="0" shrinkToFit="false"/>
      <protection locked="true" hidden="false"/>
    </xf>
    <xf numFmtId="172" fontId="29"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29" fillId="0" borderId="0" xfId="0" applyFont="true" applyBorder="false" applyAlignment="true" applyProtection="true">
      <alignment horizontal="righ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31" fillId="0" borderId="6" xfId="0" applyFont="true" applyBorder="true" applyAlignment="true" applyProtection="true">
      <alignment horizontal="general" vertical="bottom" textRotation="0" wrapText="false" indent="0" shrinkToFit="false"/>
      <protection locked="true" hidden="false"/>
    </xf>
    <xf numFmtId="164" fontId="25" fillId="3" borderId="6" xfId="0" applyFont="true" applyBorder="true" applyAlignment="true" applyProtection="true">
      <alignment horizontal="center" vertical="center" textRotation="0" wrapText="tru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73" fontId="31" fillId="0" borderId="6"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73" fontId="32" fillId="0" borderId="6" xfId="0" applyFont="true" applyBorder="true" applyAlignment="true" applyProtection="true">
      <alignment horizontal="general" vertical="bottom" textRotation="0" wrapText="false" indent="0" shrinkToFit="false"/>
      <protection locked="true" hidden="false"/>
    </xf>
    <xf numFmtId="173" fontId="4" fillId="0" borderId="6"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74" fontId="4" fillId="0" borderId="0" xfId="0" applyFont="true" applyBorder="false" applyAlignment="true" applyProtection="true">
      <alignment horizontal="center" vertical="bottom" textRotation="0" wrapText="false" indent="0" shrinkToFit="false"/>
      <protection locked="true" hidden="false"/>
    </xf>
    <xf numFmtId="171" fontId="25" fillId="3" borderId="6" xfId="0" applyFont="true" applyBorder="true" applyAlignment="true" applyProtection="true">
      <alignment horizontal="center" vertical="center" textRotation="0" wrapText="true" indent="0" shrinkToFit="false"/>
      <protection locked="true" hidden="false"/>
    </xf>
    <xf numFmtId="164" fontId="28" fillId="0" borderId="6"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73" fontId="31" fillId="0" borderId="0" xfId="0" applyFont="true" applyBorder="false" applyAlignment="true" applyProtection="true">
      <alignment horizontal="general" vertical="bottom" textRotation="0" wrapText="false" indent="0" shrinkToFit="false"/>
      <protection locked="true" hidden="false"/>
    </xf>
    <xf numFmtId="173" fontId="4" fillId="0" borderId="0" xfId="0" applyFont="true" applyBorder="false" applyAlignment="true" applyProtection="true">
      <alignment horizontal="general" vertical="bottom" textRotation="0" wrapText="false" indent="0" shrinkToFit="false"/>
      <protection locked="true" hidden="false"/>
    </xf>
    <xf numFmtId="164" fontId="25" fillId="3" borderId="7" xfId="0" applyFont="true" applyBorder="true" applyAlignment="true" applyProtection="true">
      <alignment horizontal="center" vertical="bottom" textRotation="0" wrapText="false" indent="0" shrinkToFit="false"/>
      <protection locked="true" hidden="false"/>
    </xf>
    <xf numFmtId="164" fontId="25" fillId="10" borderId="7" xfId="0" applyFont="true" applyBorder="true" applyAlignment="true" applyProtection="true">
      <alignment horizontal="center" vertical="bottom" textRotation="0" wrapText="false" indent="0" shrinkToFit="false"/>
      <protection locked="true" hidden="false"/>
    </xf>
    <xf numFmtId="164" fontId="25" fillId="3" borderId="6" xfId="0" applyFont="true" applyBorder="true" applyAlignment="true" applyProtection="true">
      <alignment horizontal="center" vertical="bottom" textRotation="0" wrapText="false" indent="0" shrinkToFit="false"/>
      <protection locked="true" hidden="false"/>
    </xf>
    <xf numFmtId="164" fontId="25" fillId="10" borderId="6" xfId="0" applyFont="true" applyBorder="true" applyAlignment="true" applyProtection="true">
      <alignment horizontal="center" vertical="bottom" textRotation="0" wrapText="false" indent="0" shrinkToFit="false"/>
      <protection locked="true" hidden="false"/>
    </xf>
    <xf numFmtId="164" fontId="17" fillId="0" borderId="6" xfId="0" applyFont="true" applyBorder="true" applyAlignment="true" applyProtection="true">
      <alignment horizontal="general" vertical="bottom" textRotation="0" wrapText="false" indent="0" shrinkToFit="false"/>
      <protection locked="true" hidden="false"/>
    </xf>
    <xf numFmtId="172" fontId="33"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general" vertical="bottom" textRotation="0" wrapText="false" indent="0" shrinkToFit="false"/>
      <protection locked="true" hidden="false"/>
    </xf>
    <xf numFmtId="172" fontId="18" fillId="0" borderId="6" xfId="0" applyFont="true" applyBorder="true" applyAlignment="true" applyProtection="true">
      <alignment horizontal="general" vertical="bottom" textRotation="0" wrapText="false" indent="0" shrinkToFit="false"/>
      <protection locked="true" hidden="false"/>
    </xf>
    <xf numFmtId="164" fontId="4" fillId="11" borderId="6" xfId="0" applyFont="true" applyBorder="true" applyAlignment="true" applyProtection="true">
      <alignment horizontal="general" vertical="bottom" textRotation="0" wrapText="false" indent="0" shrinkToFit="false"/>
      <protection locked="true" hidden="false"/>
    </xf>
    <xf numFmtId="172" fontId="4" fillId="11" borderId="6" xfId="0" applyFont="true" applyBorder="true" applyAlignment="true" applyProtection="true">
      <alignment horizontal="right" vertical="bottom" textRotation="0" wrapText="false" indent="0" shrinkToFit="fals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73" fontId="29" fillId="0" borderId="6"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76" fontId="29" fillId="0" borderId="6" xfId="0" applyFont="true" applyBorder="true" applyAlignment="true" applyProtection="true">
      <alignment horizontal="general" vertical="bottom" textRotation="0" wrapText="false" indent="0" shrinkToFit="false"/>
      <protection locked="true" hidden="false"/>
    </xf>
    <xf numFmtId="164" fontId="30"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31" fillId="0" borderId="0" xfId="0" applyFont="true" applyBorder="true" applyAlignment="true" applyProtection="true">
      <alignment horizontal="general" vertical="top" textRotation="0" wrapText="true" indent="0" shrinkToFit="false"/>
      <protection locked="true" hidden="false"/>
    </xf>
    <xf numFmtId="164" fontId="28" fillId="0" borderId="6" xfId="0" applyFont="true" applyBorder="tru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right" vertical="bottom" textRotation="0" wrapText="false" indent="0" shrinkToFit="false"/>
      <protection locked="true" hidden="false"/>
    </xf>
    <xf numFmtId="167" fontId="29" fillId="12" borderId="0" xfId="0" applyFont="true" applyBorder="false" applyAlignment="true" applyProtection="true">
      <alignment horizontal="general" vertical="bottom" textRotation="0" wrapText="false" indent="0" shrinkToFit="false"/>
      <protection locked="true" hidden="false"/>
    </xf>
    <xf numFmtId="167" fontId="29" fillId="12" borderId="0" xfId="0" applyFont="true" applyBorder="false" applyAlignment="true" applyProtection="true">
      <alignment horizontal="right" vertical="bottom" textRotation="0" wrapText="false" indent="0" shrinkToFit="false"/>
      <protection locked="true" hidden="false"/>
    </xf>
    <xf numFmtId="167" fontId="0" fillId="12"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7" fontId="17" fillId="12" borderId="0" xfId="0" applyFont="true" applyBorder="false" applyAlignment="true" applyProtection="true">
      <alignment horizontal="right" vertical="bottom" textRotation="0" wrapText="false" indent="0" shrinkToFit="false"/>
      <protection locked="true" hidden="false"/>
    </xf>
    <xf numFmtId="167" fontId="4" fillId="0" borderId="0" xfId="0" applyFont="true" applyBorder="false" applyAlignment="true" applyProtection="true">
      <alignment horizontal="right" vertical="bottom" textRotation="0" wrapText="false" indent="0" shrinkToFit="false"/>
      <protection locked="true" hidden="false"/>
    </xf>
    <xf numFmtId="168" fontId="29" fillId="12" borderId="0" xfId="0" applyFont="true" applyBorder="false" applyAlignment="true" applyProtection="true">
      <alignment horizontal="general" vertical="bottom" textRotation="0" wrapText="false" indent="0" shrinkToFit="false"/>
      <protection locked="true" hidden="false"/>
    </xf>
    <xf numFmtId="164" fontId="25" fillId="3" borderId="8" xfId="0" applyFont="true" applyBorder="true" applyAlignment="true" applyProtection="true">
      <alignment horizontal="center" vertical="center" textRotation="0" wrapText="tru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73" fontId="0" fillId="0" borderId="6" xfId="0" applyFont="false" applyBorder="true" applyAlignment="true" applyProtection="true">
      <alignment horizontal="right" vertical="center" textRotation="0" wrapText="false" indent="0" shrinkToFit="false"/>
      <protection locked="true" hidden="false"/>
    </xf>
    <xf numFmtId="173" fontId="18" fillId="0" borderId="6" xfId="0" applyFont="true" applyBorder="true" applyAlignment="true" applyProtection="true">
      <alignment horizontal="right" vertical="center" textRotation="0" wrapText="false" indent="0" shrinkToFit="false"/>
      <protection locked="true" hidden="false"/>
    </xf>
    <xf numFmtId="170" fontId="7" fillId="0" borderId="3" xfId="0" applyFont="true" applyBorder="true" applyAlignment="true" applyProtection="true">
      <alignment horizontal="left" vertical="center" textRotation="0" wrapText="false" indent="0" shrinkToFit="false"/>
      <protection locked="true" hidden="false"/>
    </xf>
    <xf numFmtId="173" fontId="4" fillId="0" borderId="6" xfId="0" applyFont="true" applyBorder="true" applyAlignment="true" applyProtection="true">
      <alignment horizontal="right" vertical="center" textRotation="0" wrapText="false" indent="0" shrinkToFit="false"/>
      <protection locked="true" hidden="false"/>
    </xf>
    <xf numFmtId="168" fontId="0" fillId="0" borderId="6" xfId="0" applyFont="false" applyBorder="true" applyAlignment="true" applyProtection="true">
      <alignment horizontal="right" vertical="center" textRotation="0" wrapText="false" indent="0" shrinkToFit="false"/>
      <protection locked="true" hidden="false"/>
    </xf>
    <xf numFmtId="177" fontId="7" fillId="0" borderId="3" xfId="0" applyFont="true" applyBorder="true" applyAlignment="true" applyProtection="true">
      <alignment horizontal="left" vertical="center" textRotation="0" wrapText="false" indent="0" shrinkToFit="false"/>
      <protection locked="true" hidden="false"/>
    </xf>
    <xf numFmtId="164" fontId="18" fillId="13" borderId="6" xfId="0" applyFont="true" applyBorder="true" applyAlignment="true" applyProtection="true">
      <alignment horizontal="left" vertical="center" textRotation="0" wrapText="false" indent="0" shrinkToFit="false"/>
      <protection locked="true" hidden="false"/>
    </xf>
    <xf numFmtId="173" fontId="0" fillId="13" borderId="6" xfId="0" applyFont="false" applyBorder="true" applyAlignment="true" applyProtection="true">
      <alignment horizontal="right" vertical="center" textRotation="0" wrapText="false" indent="0" shrinkToFit="false"/>
      <protection locked="true" hidden="false"/>
    </xf>
    <xf numFmtId="173" fontId="18" fillId="13" borderId="6" xfId="0" applyFont="true" applyBorder="true" applyAlignment="true" applyProtection="true">
      <alignment horizontal="right" vertical="center" textRotation="0" wrapText="false" indent="0" shrinkToFit="false"/>
      <protection locked="true" hidden="false"/>
    </xf>
    <xf numFmtId="170" fontId="7" fillId="13" borderId="3" xfId="0" applyFont="true" applyBorder="true" applyAlignment="true" applyProtection="true">
      <alignment horizontal="left" vertical="center" textRotation="0" wrapText="false" indent="0" shrinkToFit="false"/>
      <protection locked="true" hidden="false"/>
    </xf>
    <xf numFmtId="173" fontId="4" fillId="13" borderId="6" xfId="0" applyFont="true" applyBorder="true" applyAlignment="true" applyProtection="true">
      <alignment horizontal="right" vertical="center" textRotation="0" wrapText="false" indent="0" shrinkToFit="false"/>
      <protection locked="true" hidden="false"/>
    </xf>
    <xf numFmtId="168" fontId="0" fillId="13" borderId="6" xfId="0" applyFont="false" applyBorder="true" applyAlignment="true" applyProtection="true">
      <alignment horizontal="right" vertical="center" textRotation="0" wrapText="false" indent="0" shrinkToFit="false"/>
      <protection locked="true" hidden="false"/>
    </xf>
    <xf numFmtId="173" fontId="4" fillId="11" borderId="6" xfId="0" applyFont="true" applyBorder="true" applyAlignment="true" applyProtection="true">
      <alignment horizontal="right" vertical="bottom" textRotation="0" wrapText="false" indent="0" shrinkToFit="false"/>
      <protection locked="true" hidden="false"/>
    </xf>
    <xf numFmtId="170" fontId="4" fillId="11" borderId="3" xfId="0" applyFont="true" applyBorder="true" applyAlignment="true" applyProtection="true">
      <alignment horizontal="right" vertical="center" textRotation="0" wrapText="false" indent="0" shrinkToFit="false"/>
      <protection locked="true" hidden="false"/>
    </xf>
    <xf numFmtId="168" fontId="4" fillId="11" borderId="6" xfId="0" applyFont="true" applyBorder="true" applyAlignment="true" applyProtection="true">
      <alignment horizontal="right" vertical="bottom" textRotation="0" wrapText="false" indent="0" shrinkToFit="false"/>
      <protection locked="true" hidden="false"/>
    </xf>
    <xf numFmtId="177" fontId="4" fillId="11" borderId="3" xfId="0" applyFont="true" applyBorder="true" applyAlignment="true" applyProtection="true">
      <alignment horizontal="right" vertical="center"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34" fillId="3" borderId="6" xfId="0" applyFont="true" applyBorder="true" applyAlignment="true" applyProtection="true">
      <alignment horizontal="center" vertical="center" textRotation="0" wrapText="true" indent="0" shrinkToFit="false"/>
      <protection locked="true" hidden="false"/>
    </xf>
    <xf numFmtId="164" fontId="34" fillId="3"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70" fontId="29"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78" fontId="35" fillId="0" borderId="0" xfId="0" applyFont="true" applyBorder="false" applyAlignment="true" applyProtection="true">
      <alignment horizontal="general" vertical="bottom" textRotation="0" wrapText="false" indent="0" shrinkToFit="false"/>
      <protection locked="true" hidden="false"/>
    </xf>
    <xf numFmtId="179" fontId="6" fillId="0" borderId="0" xfId="0" applyFont="true" applyBorder="false" applyAlignment="true" applyProtection="true">
      <alignment horizontal="general" vertical="bottom" textRotation="0" wrapText="false" indent="0" shrinkToFit="false"/>
      <protection locked="true" hidden="false"/>
    </xf>
    <xf numFmtId="174" fontId="31" fillId="0" borderId="6"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right" vertical="bottom" textRotation="0" wrapText="false" indent="0" shrinkToFit="false"/>
      <protection locked="true" hidden="false"/>
    </xf>
    <xf numFmtId="164" fontId="25" fillId="3" borderId="6" xfId="0" applyFont="true" applyBorder="true" applyAlignment="true" applyProtection="true">
      <alignment horizontal="left" vertical="center" textRotation="0" wrapText="true" indent="0" shrinkToFit="false"/>
      <protection locked="true" hidden="false"/>
    </xf>
    <xf numFmtId="165" fontId="25" fillId="3" borderId="6" xfId="0" applyFont="true" applyBorder="true" applyAlignment="true" applyProtection="true">
      <alignment horizontal="center" vertical="bottom" textRotation="90" wrapText="false" indent="0" shrinkToFit="false"/>
      <protection locked="true" hidden="false"/>
    </xf>
    <xf numFmtId="164" fontId="25"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80" fontId="28" fillId="0" borderId="0" xfId="0" applyFont="true" applyBorder="false" applyAlignment="true" applyProtection="true">
      <alignment horizontal="general" vertical="bottom" textRotation="0" wrapText="false" indent="0" shrinkToFit="false"/>
      <protection locked="true" hidden="false"/>
    </xf>
    <xf numFmtId="181" fontId="31" fillId="0" borderId="0" xfId="0" applyFont="true" applyBorder="false" applyAlignment="true" applyProtection="true">
      <alignment horizontal="center" vertical="bottom" textRotation="0" wrapText="false" indent="0" shrinkToFit="false"/>
      <protection locked="true" hidden="false"/>
    </xf>
    <xf numFmtId="174" fontId="31" fillId="0" borderId="0" xfId="0" applyFont="true" applyBorder="false" applyAlignment="true" applyProtection="true">
      <alignment horizontal="center" vertical="bottom" textRotation="0" wrapText="false" indent="0" shrinkToFit="false"/>
      <protection locked="true" hidden="false"/>
    </xf>
    <xf numFmtId="182" fontId="0" fillId="0" borderId="0" xfId="0" applyFont="false" applyBorder="false" applyAlignment="true" applyProtection="true">
      <alignment horizontal="general" vertical="bottom" textRotation="0" wrapText="false" indent="0" shrinkToFit="false"/>
      <protection locked="true" hidden="false"/>
    </xf>
    <xf numFmtId="182" fontId="4" fillId="0" borderId="0" xfId="0" applyFont="true" applyBorder="false" applyAlignment="true" applyProtection="true">
      <alignment horizontal="center" vertical="bottom" textRotation="0" wrapText="false" indent="0" shrinkToFit="false"/>
      <protection locked="true" hidden="false"/>
    </xf>
    <xf numFmtId="183" fontId="4" fillId="0" borderId="0" xfId="0" applyFont="true" applyBorder="fals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82" fontId="28" fillId="0" borderId="0" xfId="0" applyFont="true" applyBorder="false" applyAlignment="true" applyProtection="true">
      <alignment horizontal="center" vertical="bottom" textRotation="0" wrapText="false" indent="0" shrinkToFit="false"/>
      <protection locked="true" hidden="false"/>
    </xf>
    <xf numFmtId="164" fontId="4" fillId="14" borderId="0" xfId="0" applyFont="tru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82" fontId="4" fillId="14" borderId="0" xfId="0" applyFont="true" applyBorder="false" applyAlignment="true" applyProtection="true">
      <alignment horizontal="center" vertical="bottom" textRotation="0" wrapText="false" indent="0" shrinkToFit="false"/>
      <protection locked="true" hidden="false"/>
    </xf>
    <xf numFmtId="183" fontId="4" fillId="14" borderId="0" xfId="0" applyFont="true" applyBorder="false" applyAlignment="true" applyProtection="true">
      <alignment horizontal="center" vertical="bottom" textRotation="0" wrapText="false" indent="0" shrinkToFit="false"/>
      <protection locked="true" hidden="false"/>
    </xf>
    <xf numFmtId="184" fontId="28" fillId="0" borderId="0" xfId="0" applyFont="true" applyBorder="false" applyAlignment="true" applyProtection="true">
      <alignment horizontal="center" vertical="bottom" textRotation="0" wrapText="false" indent="0" shrinkToFit="false"/>
      <protection locked="true" hidden="false"/>
    </xf>
    <xf numFmtId="185" fontId="28" fillId="0" borderId="0" xfId="0" applyFont="true" applyBorder="false" applyAlignment="true" applyProtection="true">
      <alignment horizontal="center" vertical="bottom" textRotation="0" wrapText="false" indent="0" shrinkToFit="false"/>
      <protection locked="true" hidden="false"/>
    </xf>
    <xf numFmtId="186" fontId="28" fillId="0" borderId="0" xfId="0" applyFont="true" applyBorder="false" applyAlignment="true" applyProtection="true">
      <alignment horizontal="center"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80" fontId="32"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23" fillId="11" borderId="6" xfId="0" applyFont="true" applyBorder="true" applyAlignment="true" applyProtection="true">
      <alignment horizontal="general" vertical="bottom" textRotation="0" wrapText="false" indent="0" shrinkToFit="false"/>
      <protection locked="true" hidden="false"/>
    </xf>
    <xf numFmtId="164" fontId="0" fillId="11" borderId="6" xfId="0" applyFont="false" applyBorder="true" applyAlignment="true" applyProtection="true">
      <alignment horizontal="general" vertical="bottom" textRotation="0" wrapText="false" indent="0" shrinkToFit="false"/>
      <protection locked="true" hidden="false"/>
    </xf>
    <xf numFmtId="180" fontId="31" fillId="0" borderId="6" xfId="0" applyFont="true" applyBorder="true" applyAlignment="true" applyProtection="true">
      <alignment horizontal="general" vertical="bottom" textRotation="0" wrapText="false" indent="0" shrinkToFit="false"/>
      <protection locked="true" hidden="false"/>
    </xf>
    <xf numFmtId="177" fontId="31" fillId="0"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general" vertical="bottom" textRotation="0" wrapText="false" indent="0" shrinkToFit="false"/>
      <protection locked="true" hidden="false"/>
    </xf>
    <xf numFmtId="180" fontId="31" fillId="13"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center" vertical="bottom" textRotation="0" wrapText="false" indent="0" shrinkToFit="false"/>
      <protection locked="true" hidden="false"/>
    </xf>
    <xf numFmtId="177" fontId="31" fillId="13" borderId="6" xfId="0" applyFont="true" applyBorder="true" applyAlignment="true" applyProtection="true">
      <alignment horizontal="general" vertical="bottom" textRotation="0" wrapText="false" indent="0" shrinkToFit="false"/>
      <protection locked="true" hidden="false"/>
    </xf>
    <xf numFmtId="170" fontId="42" fillId="2" borderId="0" xfId="0" applyFont="true" applyBorder="fals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70" fontId="4" fillId="5" borderId="1" xfId="0" applyFont="true" applyBorder="true" applyAlignment="true" applyProtection="true">
      <alignment horizontal="general" vertical="bottom" textRotation="0" wrapText="false" indent="0" shrinkToFit="false"/>
      <protection locked="true" hidden="false"/>
    </xf>
    <xf numFmtId="170" fontId="4" fillId="2" borderId="0" xfId="0" applyFont="true" applyBorder="false" applyAlignment="true" applyProtection="true">
      <alignment horizontal="general" vertical="bottom" textRotation="0" wrapText="false" indent="0" shrinkToFit="false"/>
      <protection locked="true" hidden="false"/>
    </xf>
    <xf numFmtId="164" fontId="43" fillId="2" borderId="0" xfId="0" applyFont="true" applyBorder="false" applyAlignment="true" applyProtection="true">
      <alignment horizontal="general" vertical="bottom" textRotation="0" wrapText="false" indent="0" shrinkToFit="false"/>
      <protection locked="true" hidden="false"/>
    </xf>
    <xf numFmtId="170" fontId="43" fillId="2" borderId="0" xfId="0" applyFont="true" applyBorder="false" applyAlignment="true" applyProtection="true">
      <alignment horizontal="general" vertical="bottom" textRotation="0" wrapText="false" indent="0" shrinkToFit="false"/>
      <protection locked="true" hidden="false"/>
    </xf>
    <xf numFmtId="165" fontId="35" fillId="2" borderId="0" xfId="0" applyFont="true" applyBorder="false" applyAlignment="true" applyProtection="true">
      <alignment horizontal="general" vertical="bottom" textRotation="0" wrapText="false" indent="0" shrinkToFit="false"/>
      <protection locked="true" hidden="false"/>
    </xf>
    <xf numFmtId="164" fontId="44" fillId="2" borderId="0" xfId="0" applyFont="tru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78" fontId="42" fillId="2" borderId="0" xfId="0" applyFont="true" applyBorder="false" applyAlignment="true" applyProtection="true">
      <alignment horizontal="general" vertical="bottom" textRotation="0" wrapText="false" indent="0" shrinkToFit="false"/>
      <protection locked="true" hidden="false"/>
    </xf>
    <xf numFmtId="178" fontId="29" fillId="15" borderId="0" xfId="0" applyFont="true" applyBorder="false" applyAlignment="true" applyProtection="true">
      <alignment horizontal="general" vertical="bottom" textRotation="0" wrapText="false" indent="0" shrinkToFit="false"/>
      <protection locked="true" hidden="false"/>
    </xf>
    <xf numFmtId="178" fontId="35" fillId="2" borderId="0" xfId="0" applyFont="true" applyBorder="false" applyAlignment="true" applyProtection="true">
      <alignment horizontal="general" vertical="bottom" textRotation="0" wrapText="false" indent="0" shrinkToFit="false"/>
      <protection locked="true" hidden="false"/>
    </xf>
    <xf numFmtId="170" fontId="29" fillId="15" borderId="0" xfId="0" applyFont="true" applyBorder="false" applyAlignment="true" applyProtection="true">
      <alignment horizontal="general" vertical="bottom" textRotation="0" wrapText="false" indent="0" shrinkToFit="false"/>
      <protection locked="true" hidden="false"/>
    </xf>
    <xf numFmtId="170" fontId="35" fillId="2" borderId="0" xfId="0" applyFont="true" applyBorder="false" applyAlignment="true" applyProtection="true">
      <alignment horizontal="general" vertical="bottom" textRotation="0" wrapText="false" indent="0" shrinkToFit="false"/>
      <protection locked="true" hidden="false"/>
    </xf>
    <xf numFmtId="187" fontId="29" fillId="2" borderId="0" xfId="0" applyFont="true" applyBorder="false" applyAlignment="true" applyProtection="true">
      <alignment horizontal="general" vertical="bottom" textRotation="0" wrapText="false" indent="0" shrinkToFit="false"/>
      <protection locked="true" hidden="false"/>
    </xf>
    <xf numFmtId="187" fontId="29" fillId="15" borderId="0" xfId="0" applyFont="true" applyBorder="false" applyAlignment="true" applyProtection="true">
      <alignment horizontal="general" vertical="bottom" textRotation="0" wrapText="false" indent="0" shrinkToFit="false"/>
      <protection locked="true" hidden="false"/>
    </xf>
    <xf numFmtId="187" fontId="35" fillId="2" borderId="0" xfId="0" applyFont="true" applyBorder="false" applyAlignment="true" applyProtection="true">
      <alignment horizontal="general" vertical="bottom" textRotation="0" wrapText="false" indent="0" shrinkToFit="false"/>
      <protection locked="true" hidden="false"/>
    </xf>
    <xf numFmtId="170" fontId="29" fillId="2" borderId="0" xfId="0" applyFont="true" applyBorder="fals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70" fontId="4" fillId="6" borderId="1" xfId="0" applyFont="true" applyBorder="true" applyAlignment="true" applyProtection="true">
      <alignment horizontal="general" vertical="bottom" textRotation="0" wrapText="false" indent="0" shrinkToFit="false"/>
      <protection locked="true" hidden="false"/>
    </xf>
    <xf numFmtId="164" fontId="4" fillId="9" borderId="1" xfId="0" applyFont="true" applyBorder="true" applyAlignment="true" applyProtection="true">
      <alignment horizontal="general" vertical="bottom" textRotation="0" wrapText="false" indent="0" shrinkToFit="false"/>
      <protection locked="true" hidden="false"/>
    </xf>
    <xf numFmtId="170" fontId="4" fillId="9"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78" fontId="5" fillId="2" borderId="0" xfId="0" applyFont="true" applyBorder="false" applyAlignment="true" applyProtection="true">
      <alignment horizontal="center" vertical="bottom" textRotation="0" wrapText="false" indent="0" shrinkToFit="false"/>
      <protection locked="true" hidden="false"/>
    </xf>
    <xf numFmtId="178" fontId="6" fillId="2" borderId="0" xfId="0" applyFont="true" applyBorder="false" applyAlignment="true" applyProtection="true">
      <alignment horizontal="general" vertical="bottom" textRotation="0" wrapText="false" indent="0" shrinkToFit="false"/>
      <protection locked="true" hidden="false"/>
    </xf>
    <xf numFmtId="170" fontId="4" fillId="15" borderId="0" xfId="0" applyFont="true" applyBorder="false" applyAlignment="true" applyProtection="true">
      <alignment horizontal="general" vertical="bottom" textRotation="0" wrapText="false" indent="0" shrinkToFit="false"/>
      <protection locked="true" hidden="false"/>
    </xf>
    <xf numFmtId="170" fontId="29" fillId="9" borderId="1" xfId="0" applyFont="true" applyBorder="true" applyAlignment="true" applyProtection="true">
      <alignment horizontal="general" vertical="bottom" textRotation="0" wrapText="false" indent="0" shrinkToFit="false"/>
      <protection locked="true" hidden="false"/>
    </xf>
    <xf numFmtId="170" fontId="35" fillId="9" borderId="1" xfId="0" applyFont="true" applyBorder="true" applyAlignment="true" applyProtection="true">
      <alignment horizontal="general" vertical="bottom" textRotation="0" wrapText="false" indent="0" shrinkToFit="false"/>
      <protection locked="true" hidden="false"/>
    </xf>
    <xf numFmtId="178" fontId="29" fillId="2" borderId="0" xfId="0" applyFont="true" applyBorder="false" applyAlignment="true" applyProtection="true">
      <alignment horizontal="general"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78" fontId="2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87" fontId="0" fillId="0" borderId="0" xfId="0" applyFont="false" applyBorder="false" applyAlignment="true" applyProtection="true">
      <alignment horizontal="general" vertical="bottom" textRotation="0" wrapText="false" indent="0" shrinkToFit="false"/>
      <protection locked="true" hidden="false"/>
    </xf>
    <xf numFmtId="164" fontId="29" fillId="15" borderId="0" xfId="0" applyFont="true" applyBorder="fals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70" fontId="35" fillId="0"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88" fontId="17" fillId="0" borderId="0" xfId="0" applyFont="true" applyBorder="false" applyAlignment="true" applyProtection="true">
      <alignment horizontal="general" vertical="bottom" textRotation="0" wrapText="false" indent="0" shrinkToFit="false"/>
      <protection locked="true" hidden="false"/>
    </xf>
    <xf numFmtId="164" fontId="25" fillId="16" borderId="0" xfId="0" applyFont="true" applyBorder="false" applyAlignment="true" applyProtection="true">
      <alignment horizontal="general" vertical="bottom" textRotation="0" wrapText="false" indent="0" shrinkToFit="false"/>
      <protection locked="true" hidden="false"/>
    </xf>
    <xf numFmtId="164" fontId="17" fillId="17" borderId="9" xfId="0" applyFont="true" applyBorder="true" applyAlignment="true" applyProtection="true">
      <alignment horizontal="general" vertical="bottom" textRotation="0" wrapText="false" indent="0" shrinkToFit="false"/>
      <protection locked="true" hidden="false"/>
    </xf>
    <xf numFmtId="170" fontId="17" fillId="17" borderId="9" xfId="0" applyFont="true" applyBorder="true" applyAlignment="true" applyProtection="true">
      <alignment horizontal="right" vertical="bottom" textRotation="0" wrapText="fals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70" fontId="17" fillId="7" borderId="9" xfId="0" applyFont="true" applyBorder="true" applyAlignment="true" applyProtection="true">
      <alignment horizontal="right" vertical="bottom" textRotation="0" wrapText="false" indent="0" shrinkToFit="false"/>
      <protection locked="true" hidden="false"/>
    </xf>
    <xf numFmtId="187" fontId="17" fillId="17" borderId="9" xfId="0" applyFont="true" applyBorder="true" applyAlignment="true" applyProtection="true">
      <alignment horizontal="right" vertical="bottom" textRotation="0" wrapText="false" indent="0" shrinkToFit="false"/>
      <protection locked="true" hidden="false"/>
    </xf>
    <xf numFmtId="164" fontId="25" fillId="3" borderId="0" xfId="0" applyFont="true" applyBorder="false" applyAlignment="true" applyProtection="true">
      <alignment horizontal="left"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18" borderId="0" xfId="0" applyFont="true" applyBorder="false" applyAlignment="true" applyProtection="true">
      <alignment horizontal="right" vertical="bottom" textRotation="0" wrapText="false" indent="0" shrinkToFit="false"/>
      <protection locked="true" hidden="false"/>
    </xf>
    <xf numFmtId="164" fontId="35" fillId="0" borderId="3" xfId="0" applyFont="true" applyBorder="true" applyAlignment="true" applyProtection="true">
      <alignment horizontal="left" vertical="center" textRotation="0" wrapText="false" indent="0" shrinkToFit="false"/>
      <protection locked="true" hidden="false"/>
    </xf>
    <xf numFmtId="170" fontId="4" fillId="18" borderId="3" xfId="0" applyFont="true" applyBorder="true" applyAlignment="true" applyProtection="true">
      <alignment horizontal="right" vertical="center" textRotation="0" wrapText="false" indent="0" shrinkToFit="false"/>
      <protection locked="true" hidden="false"/>
    </xf>
    <xf numFmtId="177" fontId="4" fillId="18" borderId="3" xfId="0" applyFont="true" applyBorder="true" applyAlignment="true" applyProtection="true">
      <alignment horizontal="center" vertical="center" textRotation="0" wrapText="false" indent="0" shrinkToFit="false"/>
      <protection locked="true" hidden="false"/>
    </xf>
    <xf numFmtId="189" fontId="35" fillId="0" borderId="0" xfId="0" applyFont="true" applyBorder="false" applyAlignment="true" applyProtection="true">
      <alignment horizontal="general" vertical="bottom" textRotation="0" wrapText="false" indent="0" shrinkToFit="false"/>
      <protection locked="true" hidden="false"/>
    </xf>
    <xf numFmtId="170" fontId="4"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70" fontId="43"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fals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70" fontId="17" fillId="0" borderId="0" xfId="0" applyFont="true" applyBorder="false" applyAlignment="true" applyProtection="true">
      <alignment horizontal="general" vertical="bottom" textRotation="0" wrapText="false" indent="0" shrinkToFit="false"/>
      <protection locked="true" hidden="false"/>
    </xf>
    <xf numFmtId="170" fontId="18" fillId="0" borderId="10" xfId="0" applyFont="true" applyBorder="tru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right"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8" fontId="17" fillId="0" borderId="0" xfId="0" applyFont="true" applyBorder="false" applyAlignment="true" applyProtection="true">
      <alignment horizontal="general" vertical="bottom" textRotation="0" wrapText="false" indent="0" shrinkToFit="false"/>
      <protection locked="true" hidden="false"/>
    </xf>
    <xf numFmtId="173" fontId="35" fillId="0"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11" xfId="0" applyFont="true" applyBorder="true" applyAlignment="true" applyProtection="true">
      <alignment horizontal="general" vertical="bottom" textRotation="0" wrapText="false" indent="0" shrinkToFit="false"/>
      <protection locked="true" hidden="false"/>
    </xf>
    <xf numFmtId="164" fontId="18" fillId="0" borderId="11" xfId="0" applyFont="true" applyBorder="true" applyAlignment="true" applyProtection="true">
      <alignment horizontal="center" vertical="bottom" textRotation="0" wrapText="false" indent="0" shrinkToFit="false"/>
      <protection locked="true" hidden="false"/>
    </xf>
    <xf numFmtId="164" fontId="25" fillId="19" borderId="0" xfId="0" applyFont="true" applyBorder="false" applyAlignment="true" applyProtection="true">
      <alignment horizontal="general" vertical="bottom" textRotation="0" wrapText="false" indent="0" shrinkToFit="false"/>
      <protection locked="true" hidden="false"/>
    </xf>
    <xf numFmtId="170" fontId="25" fillId="19" borderId="0" xfId="0" applyFont="true" applyBorder="false" applyAlignment="true" applyProtection="true">
      <alignment horizontal="general" vertical="bottom" textRotation="0" wrapText="false" indent="0" shrinkToFit="false"/>
      <protection locked="true" hidden="false"/>
    </xf>
    <xf numFmtId="164" fontId="17" fillId="17" borderId="0" xfId="0" applyFont="true" applyBorder="false" applyAlignment="true" applyProtection="true">
      <alignment horizontal="general" vertical="bottom" textRotation="0" wrapText="false" indent="0" shrinkToFit="false"/>
      <protection locked="true" hidden="false"/>
    </xf>
    <xf numFmtId="170" fontId="17" fillId="17" borderId="0" xfId="0" applyFont="true" applyBorder="false" applyAlignment="true" applyProtection="true">
      <alignment horizontal="general" vertical="bottom" textRotation="0" wrapText="false" indent="0" shrinkToFit="false"/>
      <protection locked="true" hidden="false"/>
    </xf>
    <xf numFmtId="164" fontId="18" fillId="20" borderId="0" xfId="0" applyFont="true" applyBorder="false" applyAlignment="true" applyProtection="true">
      <alignment horizontal="general" vertical="bottom" textRotation="0" wrapText="false" indent="0" shrinkToFit="false"/>
      <protection locked="true" hidden="false"/>
    </xf>
    <xf numFmtId="170" fontId="18" fillId="20" borderId="0" xfId="0" applyFont="true" applyBorder="false" applyAlignment="true" applyProtection="true">
      <alignment horizontal="general" vertical="bottom" textRotation="0" wrapText="false" indent="0" shrinkToFit="false"/>
      <protection locked="true" hidden="false"/>
    </xf>
    <xf numFmtId="164" fontId="10" fillId="0" borderId="10" xfId="0" applyFont="true" applyBorder="true" applyAlignment="true" applyProtection="true">
      <alignment horizontal="general" vertical="bottom" textRotation="0" wrapText="false" indent="0" shrinkToFit="false"/>
      <protection locked="true" hidden="false"/>
    </xf>
    <xf numFmtId="170" fontId="10" fillId="0" borderId="10" xfId="0" applyFont="true" applyBorder="true" applyAlignment="true" applyProtection="true">
      <alignment horizontal="general" vertical="bottom" textRotation="0" wrapText="false" indent="0" shrinkToFit="false"/>
      <protection locked="true" hidden="false"/>
    </xf>
    <xf numFmtId="170" fontId="25" fillId="16" borderId="0" xfId="0" applyFont="true" applyBorder="false" applyAlignment="true" applyProtection="true">
      <alignment horizontal="general" vertical="bottom" textRotation="0" wrapText="false" indent="0" shrinkToFit="false"/>
      <protection locked="true" hidden="false"/>
    </xf>
    <xf numFmtId="164" fontId="17" fillId="20" borderId="0" xfId="0" applyFont="true" applyBorder="false" applyAlignment="true" applyProtection="true">
      <alignment horizontal="general" vertical="bottom" textRotation="0" wrapText="false" indent="0" shrinkToFit="false"/>
      <protection locked="true" hidden="false"/>
    </xf>
    <xf numFmtId="170" fontId="17" fillId="20" borderId="0" xfId="0" applyFont="true" applyBorder="false" applyAlignment="true" applyProtection="true">
      <alignment horizontal="general" vertical="bottom" textRotation="0" wrapText="false" indent="0" shrinkToFit="false"/>
      <protection locked="true" hidden="false"/>
    </xf>
    <xf numFmtId="170" fontId="18" fillId="0" borderId="0" xfId="0" applyFont="true" applyBorder="false" applyAlignment="true" applyProtection="true">
      <alignment horizontal="general" vertical="bottom" textRotation="0" wrapText="false" indent="0" shrinkToFit="false"/>
      <protection locked="true" hidden="false"/>
    </xf>
    <xf numFmtId="164" fontId="46" fillId="20" borderId="0" xfId="0" applyFont="true" applyBorder="false" applyAlignment="true" applyProtection="true">
      <alignment horizontal="general" vertical="bottom" textRotation="0" wrapText="false" indent="0" shrinkToFit="false"/>
      <protection locked="true" hidden="false"/>
    </xf>
    <xf numFmtId="170" fontId="46" fillId="20" borderId="0" xfId="0" applyFont="true" applyBorder="false" applyAlignment="true" applyProtection="true">
      <alignment horizontal="general" vertical="bottom" textRotation="0" wrapText="false" indent="0" shrinkToFit="false"/>
      <protection locked="true" hidden="false"/>
    </xf>
    <xf numFmtId="164" fontId="25" fillId="21" borderId="10" xfId="0" applyFont="true" applyBorder="true" applyAlignment="true" applyProtection="true">
      <alignment horizontal="general" vertical="bottom" textRotation="0" wrapText="false" indent="0" shrinkToFit="false"/>
      <protection locked="true" hidden="false"/>
    </xf>
    <xf numFmtId="170" fontId="25" fillId="21" borderId="10" xfId="0" applyFont="true" applyBorder="true" applyAlignment="true" applyProtection="true">
      <alignment horizontal="general" vertical="bottom" textRotation="0" wrapText="false" indent="0" shrinkToFit="false"/>
      <protection locked="true" hidden="false"/>
    </xf>
    <xf numFmtId="164" fontId="17" fillId="22" borderId="0" xfId="0" applyFont="true" applyBorder="false" applyAlignment="true" applyProtection="true">
      <alignment horizontal="general" vertical="bottom" textRotation="0" wrapText="false" indent="0" shrinkToFit="false"/>
      <protection locked="true" hidden="false"/>
    </xf>
    <xf numFmtId="170" fontId="17" fillId="22" borderId="0" xfId="0" applyFont="true" applyBorder="false" applyAlignment="true" applyProtection="true">
      <alignment horizontal="general" vertical="bottom" textRotation="0" wrapText="false" indent="0" shrinkToFit="false"/>
      <protection locked="true" hidden="false"/>
    </xf>
    <xf numFmtId="164" fontId="17" fillId="21" borderId="0" xfId="0" applyFont="true" applyBorder="false" applyAlignment="true" applyProtection="true">
      <alignment horizontal="general" vertical="bottom" textRotation="0" wrapText="false" indent="0" shrinkToFit="false"/>
      <protection locked="true" hidden="false"/>
    </xf>
    <xf numFmtId="170" fontId="17" fillId="21" borderId="0" xfId="0" applyFont="true" applyBorder="false" applyAlignment="true" applyProtection="true">
      <alignment horizontal="general" vertical="bottom" textRotation="0" wrapText="false" indent="0" shrinkToFit="false"/>
      <protection locked="true" hidden="false"/>
    </xf>
    <xf numFmtId="164" fontId="18" fillId="22" borderId="0" xfId="0" applyFont="true" applyBorder="false" applyAlignment="true" applyProtection="true">
      <alignment horizontal="general" vertical="bottom" textRotation="0" wrapText="false" indent="0" shrinkToFit="false"/>
      <protection locked="true" hidden="false"/>
    </xf>
    <xf numFmtId="170" fontId="18" fillId="22" borderId="0" xfId="0" applyFont="true" applyBorder="false" applyAlignment="true" applyProtection="true">
      <alignment horizontal="general" vertical="bottom" textRotation="0" wrapText="false" indent="0" shrinkToFit="false"/>
      <protection locked="true" hidden="false"/>
    </xf>
    <xf numFmtId="170" fontId="46" fillId="0" borderId="0" xfId="0" applyFont="true" applyBorder="false" applyAlignment="true" applyProtection="true">
      <alignment horizontal="general" vertical="bottom" textRotation="0" wrapText="false" indent="0" shrinkToFit="false"/>
      <protection locked="true" hidden="false"/>
    </xf>
    <xf numFmtId="164" fontId="25" fillId="23" borderId="0" xfId="0" applyFont="true" applyBorder="false" applyAlignment="true" applyProtection="true">
      <alignment horizontal="general" vertical="bottom" textRotation="0" wrapText="false" indent="0" shrinkToFit="false"/>
      <protection locked="true" hidden="false"/>
    </xf>
    <xf numFmtId="170" fontId="25" fillId="23" borderId="0" xfId="0" applyFont="true" applyBorder="fals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true" hidden="false"/>
    </xf>
    <xf numFmtId="170" fontId="17" fillId="0" borderId="10" xfId="0" applyFont="true" applyBorder="true" applyAlignment="true" applyProtection="true">
      <alignment horizontal="general" vertical="bottom" textRotation="0" wrapText="false" indent="0" shrinkToFit="false"/>
      <protection locked="true" hidden="false"/>
    </xf>
    <xf numFmtId="164" fontId="17" fillId="23" borderId="0" xfId="0" applyFont="true" applyBorder="false" applyAlignment="true" applyProtection="true">
      <alignment horizontal="general" vertical="bottom" textRotation="0" wrapText="false" indent="0" shrinkToFit="false"/>
      <protection locked="true" hidden="false"/>
    </xf>
    <xf numFmtId="170" fontId="17" fillId="23" borderId="0" xfId="0" applyFont="true" applyBorder="false" applyAlignment="true" applyProtection="true">
      <alignment horizontal="general" vertical="bottom" textRotation="0" wrapText="false" indent="0" shrinkToFit="false"/>
      <protection locked="true" hidden="false"/>
    </xf>
    <xf numFmtId="164" fontId="17" fillId="24" borderId="0" xfId="0" applyFont="true" applyBorder="false" applyAlignment="true" applyProtection="true">
      <alignment horizontal="general" vertical="bottom" textRotation="0" wrapText="false" indent="0" shrinkToFit="false"/>
      <protection locked="true" hidden="false"/>
    </xf>
    <xf numFmtId="170" fontId="17" fillId="24" borderId="0" xfId="0" applyFont="true" applyBorder="false" applyAlignment="true" applyProtection="true">
      <alignment horizontal="general" vertical="bottom" textRotation="0" wrapText="false" indent="0" shrinkToFit="false"/>
      <protection locked="true" hidden="false"/>
    </xf>
    <xf numFmtId="164" fontId="46" fillId="24" borderId="0" xfId="0" applyFont="true" applyBorder="false" applyAlignment="true" applyProtection="true">
      <alignment horizontal="general" vertical="bottom" textRotation="0" wrapText="false" indent="0" shrinkToFit="false"/>
      <protection locked="true" hidden="false"/>
    </xf>
    <xf numFmtId="170" fontId="46" fillId="24"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66" fontId="25" fillId="3" borderId="0" xfId="0" applyFont="true" applyBorder="false" applyAlignment="true" applyProtection="true">
      <alignment horizontal="center" vertical="center" textRotation="0" wrapText="true" indent="0" shrinkToFit="false"/>
      <protection locked="true" hidden="false"/>
    </xf>
    <xf numFmtId="167" fontId="25" fillId="3" borderId="0" xfId="0" applyFont="true" applyBorder="false" applyAlignment="true" applyProtection="true">
      <alignment horizontal="center" vertical="center" textRotation="0" wrapText="true" indent="0" shrinkToFit="false"/>
      <protection locked="true" hidden="false"/>
    </xf>
    <xf numFmtId="177" fontId="25" fillId="3" borderId="0" xfId="0" applyFont="true" applyBorder="false" applyAlignment="true" applyProtection="true">
      <alignment horizontal="center" vertical="center" textRotation="0" wrapText="tru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0" fontId="31" fillId="0" borderId="0" xfId="0" applyFont="true" applyBorder="false" applyAlignment="true" applyProtection="true">
      <alignment horizontal="general" vertical="bottom" textRotation="0" wrapText="false" indent="0" shrinkToFit="false"/>
      <protection locked="true" hidden="false"/>
    </xf>
    <xf numFmtId="166" fontId="31" fillId="0" borderId="0" xfId="0" applyFont="true" applyBorder="false" applyAlignment="true" applyProtection="true">
      <alignment horizontal="center" vertical="bottom" textRotation="0" wrapText="false" indent="0" shrinkToFit="false"/>
      <protection locked="true" hidden="false"/>
    </xf>
    <xf numFmtId="165" fontId="31" fillId="0" borderId="0" xfId="0" applyFont="true" applyBorder="false" applyAlignment="true" applyProtection="true">
      <alignment horizontal="center" vertical="bottom" textRotation="0" wrapText="false" indent="0" shrinkToFit="false"/>
      <protection locked="true" hidden="false"/>
    </xf>
    <xf numFmtId="164" fontId="38" fillId="7" borderId="0" xfId="0" applyFont="true" applyBorder="fals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7" borderId="0" xfId="0" applyFont="true" applyBorder="false" applyAlignment="true" applyProtection="true">
      <alignment horizontal="general" vertical="bottom" textRotation="0" wrapText="false" indent="0" shrinkToFit="false"/>
      <protection locked="true" hidden="false"/>
    </xf>
    <xf numFmtId="169" fontId="23" fillId="13" borderId="6" xfId="0" applyFont="true" applyBorder="true" applyAlignment="true" applyProtection="true">
      <alignment horizontal="general" vertical="bottom" textRotation="0" wrapText="false" indent="0" shrinkToFit="false"/>
      <protection locked="true" hidden="false"/>
    </xf>
    <xf numFmtId="177" fontId="31" fillId="13"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general" vertical="bottom" textRotation="0" wrapText="false" indent="0" shrinkToFit="false"/>
      <protection locked="true" hidden="false"/>
    </xf>
    <xf numFmtId="169" fontId="23" fillId="7" borderId="6" xfId="0" applyFont="true" applyBorder="true" applyAlignment="true" applyProtection="true">
      <alignment horizontal="general" vertical="bottom" textRotation="0" wrapText="false" indent="0" shrinkToFit="false"/>
      <protection locked="true" hidden="false"/>
    </xf>
    <xf numFmtId="177" fontId="31" fillId="7" borderId="6" xfId="0" applyFont="true" applyBorder="true" applyAlignment="true" applyProtection="true">
      <alignment horizontal="center" vertical="bottom" textRotation="0" wrapText="false" indent="0" shrinkToFit="false"/>
      <protection locked="true" hidden="false"/>
    </xf>
    <xf numFmtId="166" fontId="31" fillId="13" borderId="6" xfId="0" applyFont="true" applyBorder="true" applyAlignment="true" applyProtection="true">
      <alignment horizontal="center" vertical="bottom" textRotation="0" wrapText="false" indent="0" shrinkToFit="false"/>
      <protection locked="true" hidden="false"/>
    </xf>
    <xf numFmtId="166" fontId="31" fillId="7" borderId="6" xfId="0" applyFont="true" applyBorder="true" applyAlignment="true" applyProtection="true">
      <alignment horizontal="center"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91" fontId="32" fillId="0" borderId="6" xfId="0" applyFont="true" applyBorder="true" applyAlignment="true" applyProtection="true">
      <alignment horizontal="general" vertical="bottom" textRotation="0" wrapText="false" indent="0" shrinkToFit="false"/>
      <protection locked="true" hidden="false"/>
    </xf>
    <xf numFmtId="180" fontId="32" fillId="0" borderId="6" xfId="0" applyFont="true" applyBorder="true" applyAlignment="true" applyProtection="true">
      <alignment horizontal="general" vertical="bottom" textRotation="0" wrapText="false" indent="0" shrinkToFit="false"/>
      <protection locked="true" hidden="false"/>
    </xf>
    <xf numFmtId="177" fontId="32" fillId="0" borderId="6" xfId="0" applyFont="true" applyBorder="true" applyAlignment="true" applyProtection="true">
      <alignment horizontal="general" vertical="bottom" textRotation="0" wrapText="false" indent="0" shrinkToFit="false"/>
      <protection locked="true" hidden="false"/>
    </xf>
    <xf numFmtId="165" fontId="31" fillId="0" borderId="0" xfId="0" applyFont="true" applyBorder="false" applyAlignment="true" applyProtection="true">
      <alignment horizontal="general" vertical="bottom" textRotation="0" wrapText="false" indent="0" shrinkToFit="false"/>
      <protection locked="true" hidden="false"/>
    </xf>
    <xf numFmtId="191" fontId="31" fillId="0" borderId="0" xfId="0" applyFont="true" applyBorder="false" applyAlignment="true" applyProtection="true">
      <alignment horizontal="general" vertical="bottom" textRotation="0" wrapText="false" indent="0" shrinkToFit="false"/>
      <protection locked="true" hidden="false"/>
    </xf>
    <xf numFmtId="192" fontId="31" fillId="0" borderId="0" xfId="0" applyFont="true" applyBorder="false" applyAlignment="true" applyProtection="true">
      <alignment horizontal="general" vertical="bottom" textRotation="0" wrapText="false" indent="0" shrinkToFit="false"/>
      <protection locked="true" hidden="false"/>
    </xf>
    <xf numFmtId="180" fontId="31"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9" fontId="31" fillId="7" borderId="6"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79" fontId="22" fillId="25" borderId="6" xfId="0" applyFont="true" applyBorder="true" applyAlignment="true" applyProtection="true">
      <alignment horizontal="right" vertical="bottom" textRotation="0" wrapText="false" indent="0" shrinkToFit="false"/>
      <protection locked="true" hidden="false"/>
    </xf>
    <xf numFmtId="187" fontId="22" fillId="25" borderId="6" xfId="0" applyFont="true" applyBorder="true" applyAlignment="true" applyProtection="true">
      <alignment horizontal="right" vertical="bottom" textRotation="0" wrapText="false" indent="0" shrinkToFit="false"/>
      <protection locked="true" hidden="false"/>
    </xf>
    <xf numFmtId="187" fontId="22" fillId="25" borderId="0" xfId="0" applyFont="true" applyBorder="false" applyAlignment="true" applyProtection="true">
      <alignment horizontal="right" vertical="bottom" textRotation="0" wrapText="false" indent="0" shrinkToFit="false"/>
      <protection locked="true" hidden="false"/>
    </xf>
    <xf numFmtId="166" fontId="31" fillId="7" borderId="6" xfId="0" applyFont="true" applyBorder="true" applyAlignment="true" applyProtection="true">
      <alignment horizontal="right" vertical="bottom" textRotation="0" wrapText="false" indent="0" shrinkToFit="false"/>
      <protection locked="true" hidden="false"/>
    </xf>
    <xf numFmtId="187" fontId="32" fillId="7" borderId="6" xfId="0" applyFont="true" applyBorder="true" applyAlignment="true" applyProtection="true">
      <alignment horizontal="right" vertical="bottom" textRotation="0" wrapText="false" indent="0" shrinkToFit="false"/>
      <protection locked="true" hidden="false"/>
    </xf>
    <xf numFmtId="166" fontId="22" fillId="25" borderId="0" xfId="0" applyFont="true" applyBorder="false" applyAlignment="true" applyProtection="true">
      <alignment horizontal="right" vertical="bottom" textRotation="0" wrapText="false" indent="0" shrinkToFit="false"/>
      <protection locked="true" hidden="false"/>
    </xf>
    <xf numFmtId="164" fontId="31" fillId="13" borderId="6" xfId="0" applyFont="true" applyBorder="true" applyAlignment="true" applyProtection="true">
      <alignment horizontal="left" vertical="center" textRotation="0" wrapText="false" indent="0" shrinkToFit="false"/>
      <protection locked="true" hidden="false"/>
    </xf>
    <xf numFmtId="166" fontId="22" fillId="25" borderId="6" xfId="0" applyFont="true" applyBorder="true" applyAlignment="true" applyProtection="true">
      <alignment horizontal="center" vertical="center" textRotation="0" wrapText="false" indent="0" shrinkToFit="false"/>
      <protection locked="true" hidden="false"/>
    </xf>
    <xf numFmtId="164" fontId="31" fillId="13" borderId="6" xfId="0" applyFont="true" applyBorder="true" applyAlignment="true" applyProtection="true">
      <alignment horizontal="center" vertical="center" textRotation="0" wrapText="false" indent="0" shrinkToFit="false"/>
      <protection locked="true" hidden="false"/>
    </xf>
    <xf numFmtId="169" fontId="22" fillId="25" borderId="6" xfId="0" applyFont="true" applyBorder="true" applyAlignment="true" applyProtection="true">
      <alignment horizontal="right" vertical="center" textRotation="0" wrapText="false" indent="0" shrinkToFit="false"/>
      <protection locked="true" hidden="false"/>
    </xf>
    <xf numFmtId="169" fontId="31" fillId="13" borderId="6" xfId="0" applyFont="true" applyBorder="true" applyAlignment="true" applyProtection="true">
      <alignment horizontal="right" vertical="center" textRotation="0" wrapText="false" indent="0" shrinkToFit="false"/>
      <protection locked="true" hidden="false"/>
    </xf>
    <xf numFmtId="166" fontId="31" fillId="13" borderId="6" xfId="0" applyFont="true" applyBorder="true" applyAlignment="true" applyProtection="true">
      <alignment horizontal="center" vertical="center" textRotation="0" wrapText="false" indent="0" shrinkToFit="false"/>
      <protection locked="true" hidden="false"/>
    </xf>
    <xf numFmtId="178" fontId="22" fillId="25" borderId="6" xfId="0" applyFont="true" applyBorder="true" applyAlignment="true" applyProtection="true">
      <alignment horizontal="right" vertical="center" textRotation="0" wrapText="false" indent="0" shrinkToFit="false"/>
      <protection locked="true" hidden="false"/>
    </xf>
    <xf numFmtId="169" fontId="23" fillId="13" borderId="6" xfId="0" applyFont="true" applyBorder="true" applyAlignment="true" applyProtection="true">
      <alignment horizontal="right" vertical="center" textRotation="0" wrapText="false" indent="0" shrinkToFit="false"/>
      <protection locked="true" hidden="false"/>
    </xf>
    <xf numFmtId="164" fontId="51" fillId="13"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center" vertical="center" textRotation="0" wrapText="false" indent="0" shrinkToFit="false"/>
      <protection locked="true" hidden="false"/>
    </xf>
    <xf numFmtId="169" fontId="31" fillId="7" borderId="6" xfId="0" applyFont="true" applyBorder="true" applyAlignment="true" applyProtection="true">
      <alignment horizontal="right" vertical="center" textRotation="0" wrapText="false" indent="0" shrinkToFit="false"/>
      <protection locked="true" hidden="false"/>
    </xf>
    <xf numFmtId="166" fontId="31" fillId="7" borderId="6" xfId="0" applyFont="true" applyBorder="true" applyAlignment="true" applyProtection="true">
      <alignment horizontal="center" vertical="center" textRotation="0" wrapText="false" indent="0" shrinkToFit="false"/>
      <protection locked="true" hidden="false"/>
    </xf>
    <xf numFmtId="169" fontId="23" fillId="7" borderId="6" xfId="0" applyFont="true" applyBorder="true" applyAlignment="true" applyProtection="true">
      <alignment horizontal="right" vertical="center" textRotation="0" wrapText="false" indent="0" shrinkToFit="false"/>
      <protection locked="true" hidden="false"/>
    </xf>
    <xf numFmtId="164" fontId="51" fillId="7" borderId="6" xfId="0" applyFont="true" applyBorder="true" applyAlignment="true" applyProtection="true">
      <alignment horizontal="left" vertical="center" textRotation="0" wrapText="false" indent="0" shrinkToFit="false"/>
      <protection locked="true" hidden="false"/>
    </xf>
    <xf numFmtId="164" fontId="32" fillId="26" borderId="12" xfId="0" applyFont="true" applyBorder="true" applyAlignment="true" applyProtection="true">
      <alignment horizontal="general" vertical="bottom" textRotation="0" wrapText="false" indent="0" shrinkToFit="false"/>
      <protection locked="true" hidden="false"/>
    </xf>
    <xf numFmtId="169" fontId="32" fillId="26" borderId="12" xfId="0" applyFont="true" applyBorder="true" applyAlignment="true" applyProtection="true">
      <alignment horizontal="right" vertical="bottom" textRotation="0" wrapText="false" indent="0" shrinkToFit="false"/>
      <protection locked="true" hidden="false"/>
    </xf>
    <xf numFmtId="169" fontId="23" fillId="26" borderId="12" xfId="0" applyFont="true" applyBorder="true" applyAlignment="true" applyProtection="true">
      <alignment horizontal="right" vertical="bottom" textRotation="0" wrapText="false" indent="0" shrinkToFit="false"/>
      <protection locked="true" hidden="false"/>
    </xf>
    <xf numFmtId="164" fontId="54" fillId="0" borderId="6"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55"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top" textRotation="0" wrapText="tru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22" fillId="18" borderId="13" xfId="0" applyFont="true" applyBorder="tru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center" vertical="bottom" textRotation="0" wrapText="false" indent="0" shrinkToFit="false"/>
      <protection locked="true" hidden="false"/>
    </xf>
    <xf numFmtId="164" fontId="31" fillId="0" borderId="13" xfId="0" applyFont="true" applyBorder="true" applyAlignment="true" applyProtection="true">
      <alignment horizontal="general" vertical="bottom" textRotation="0" wrapText="false" indent="0" shrinkToFit="false"/>
      <protection locked="true" hidden="false"/>
    </xf>
    <xf numFmtId="193" fontId="22" fillId="18" borderId="13"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top" textRotation="0" wrapText="false" indent="0" shrinkToFit="false"/>
      <protection locked="true" hidden="false"/>
    </xf>
    <xf numFmtId="173" fontId="22" fillId="18" borderId="13" xfId="0" applyFont="true" applyBorder="true" applyAlignment="true" applyProtection="true">
      <alignment horizontal="right" vertical="bottom" textRotation="0" wrapText="false" indent="0" shrinkToFit="false"/>
      <protection locked="true" hidden="false"/>
    </xf>
    <xf numFmtId="171" fontId="61" fillId="18" borderId="13" xfId="0" applyFont="true" applyBorder="true" applyAlignment="true" applyProtection="true">
      <alignment horizontal="right" vertical="bottom" textRotation="0" wrapText="false" indent="0" shrinkToFit="false"/>
      <protection locked="true" hidden="false"/>
    </xf>
    <xf numFmtId="168" fontId="22" fillId="18" borderId="13" xfId="0" applyFont="true" applyBorder="true" applyAlignment="true" applyProtection="true">
      <alignment horizontal="right" vertical="bottom" textRotation="0" wrapText="false" indent="0" shrinkToFit="false"/>
      <protection locked="true" hidden="false"/>
    </xf>
    <xf numFmtId="178" fontId="22" fillId="18" borderId="13" xfId="0" applyFont="true" applyBorder="true" applyAlignment="true" applyProtection="true">
      <alignment horizontal="right" vertical="bottom" textRotation="0" wrapText="false" indent="0" shrinkToFit="false"/>
      <protection locked="true" hidden="false"/>
    </xf>
    <xf numFmtId="166" fontId="22" fillId="18" borderId="13" xfId="0" applyFont="true" applyBorder="true" applyAlignment="true" applyProtection="true">
      <alignment horizontal="right" vertical="bottom" textRotation="0" wrapText="false" indent="0" shrinkToFit="false"/>
      <protection locked="true" hidden="false"/>
    </xf>
    <xf numFmtId="164" fontId="32" fillId="0" borderId="13" xfId="0" applyFont="true" applyBorder="true" applyAlignment="true" applyProtection="true">
      <alignment horizontal="general" vertical="bottom" textRotation="0" wrapText="false" indent="0" shrinkToFit="false"/>
      <protection locked="true" hidden="false"/>
    </xf>
    <xf numFmtId="194" fontId="22" fillId="18" borderId="13" xfId="0" applyFont="true" applyBorder="true" applyAlignment="true" applyProtection="true">
      <alignment horizontal="right" vertical="bottom" textRotation="0" wrapText="false" indent="0" shrinkToFit="false"/>
      <protection locked="true" hidden="false"/>
    </xf>
    <xf numFmtId="177" fontId="22" fillId="18" borderId="13" xfId="0" applyFont="true" applyBorder="true" applyAlignment="true" applyProtection="true">
      <alignment horizontal="right" vertical="bottom" textRotation="0" wrapText="false" indent="0" shrinkToFit="false"/>
      <protection locked="true" hidden="false"/>
    </xf>
    <xf numFmtId="194" fontId="31" fillId="0" borderId="13" xfId="0" applyFont="true" applyBorder="true" applyAlignment="true" applyProtection="true">
      <alignment horizontal="right" vertical="bottom" textRotation="0" wrapText="false" indent="0" shrinkToFit="false"/>
      <protection locked="true" hidden="false"/>
    </xf>
    <xf numFmtId="173" fontId="31" fillId="0" borderId="13" xfId="0" applyFont="true" applyBorder="true" applyAlignment="true" applyProtection="true">
      <alignment horizontal="right" vertical="bottom" textRotation="0" wrapText="false" indent="0" shrinkToFit="false"/>
      <protection locked="true" hidden="false"/>
    </xf>
    <xf numFmtId="164" fontId="22" fillId="18" borderId="13" xfId="0" applyFont="true" applyBorder="true" applyAlignment="true" applyProtection="true">
      <alignment horizontal="general" vertical="bottom" textRotation="0" wrapText="false" indent="0" shrinkToFit="false"/>
      <protection locked="true" hidden="false"/>
    </xf>
    <xf numFmtId="173" fontId="23"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6" fontId="31" fillId="0" borderId="13" xfId="0" applyFont="true" applyBorder="true" applyAlignment="true" applyProtection="true">
      <alignment horizontal="right" vertical="bottom" textRotation="0" wrapText="false" indent="0" shrinkToFit="false"/>
      <protection locked="true" hidden="false"/>
    </xf>
    <xf numFmtId="164" fontId="62" fillId="0" borderId="13" xfId="0" applyFont="true" applyBorder="true" applyAlignment="true" applyProtection="true">
      <alignment horizontal="general" vertical="bottom" textRotation="0" wrapText="false" indent="0" shrinkToFit="false"/>
      <protection locked="true" hidden="false"/>
    </xf>
    <xf numFmtId="173" fontId="63" fillId="0" borderId="13" xfId="0" applyFont="true" applyBorder="true" applyAlignment="true" applyProtection="true">
      <alignment horizontal="right" vertical="bottom" textRotation="0" wrapText="false" indent="0" shrinkToFit="false"/>
      <protection locked="true" hidden="false"/>
    </xf>
    <xf numFmtId="173" fontId="32" fillId="0" borderId="13" xfId="0" applyFont="true" applyBorder="true" applyAlignment="true" applyProtection="true">
      <alignment horizontal="right" vertical="bottom" textRotation="0" wrapText="false" indent="0" shrinkToFit="false"/>
      <protection locked="true" hidden="false"/>
    </xf>
    <xf numFmtId="164" fontId="64" fillId="0" borderId="13" xfId="0" applyFont="true" applyBorder="true" applyAlignment="true" applyProtection="true">
      <alignment horizontal="general" vertical="bottom" textRotation="0" wrapText="false" indent="0" shrinkToFit="false"/>
      <protection locked="true" hidden="false"/>
    </xf>
    <xf numFmtId="164" fontId="23" fillId="0" borderId="13" xfId="0" applyFont="true" applyBorder="true" applyAlignment="true" applyProtection="true">
      <alignment horizontal="general" vertical="bottom" textRotation="0" wrapText="false" indent="0" shrinkToFit="false"/>
      <protection locked="true" hidden="false"/>
    </xf>
    <xf numFmtId="173" fontId="23" fillId="0" borderId="13" xfId="0" applyFont="true" applyBorder="true" applyAlignment="true" applyProtection="true">
      <alignment horizontal="right" vertical="bottom" textRotation="0" wrapText="false" indent="0" shrinkToFit="false"/>
      <protection locked="true" hidden="false"/>
    </xf>
    <xf numFmtId="168" fontId="31" fillId="0" borderId="13" xfId="0" applyFont="true" applyBorder="true" applyAlignment="true" applyProtection="true">
      <alignment horizontal="right" vertical="bottom" textRotation="0" wrapText="false" indent="0" shrinkToFit="false"/>
      <protection locked="true" hidden="false"/>
    </xf>
    <xf numFmtId="164" fontId="59" fillId="0" borderId="13" xfId="0" applyFont="true" applyBorder="true" applyAlignment="true" applyProtection="true">
      <alignment horizontal="general" vertical="bottom" textRotation="0" wrapText="false" indent="0" shrinkToFit="false"/>
      <protection locked="true" hidden="false"/>
    </xf>
    <xf numFmtId="173" fontId="59" fillId="0" borderId="13"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226562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400290.858734427</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471209.450753677</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481494.761436427</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501253.761436427</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548734.21275983</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573279.90196858</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677840.357636663</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731225.897636663</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668362.717636663</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742122.197550413</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676904.571050413</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826867.188202019</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724495.748202019</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780441.878202019</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730389.838202019</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715463.948202019</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661532.698202019</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674137.168202019</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759248.288635953</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849240.970655203</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871693.659799452</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920519.229687703</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836051.71711055</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933127.42366805</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760572.256667373</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820027.826667373</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888468.996667373</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929396.806581123</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908385.460253623</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876010.533253623</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927606.783253623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927606.783253623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927606.783253623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989522.283253623</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1013691.10386618</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1066759.31820952</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812438.910433933</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812438.910433933</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874354.410433933</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864035.160433933</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853715.910433933</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853715.910433933</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853715.910433933</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864035.160433933</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874354.410433933</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853715.910433933</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864035.160433933</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1016604.00585593</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712028.25</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608835.75</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608835.75</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608835.75</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670751.25</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598516.5</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495324</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495324</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495324</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546920.25</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505643.25</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433408.5</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381812.25</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340535.25</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268300.5</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216704.25</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175427.25</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103192.5</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302763.320506708</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359589.805206108</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367978.361004308</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377564.261004308</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413549.459408586</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433189.699595586</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509483.897984719</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549813.347984719</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502936.07798472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566265.42017572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516525.938975719</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633521.406683028</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552365.926683028</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596346.796683028</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556231.896683028</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541375.416683028</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499069.826683028</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509031.396683028</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572663.597117641</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641055.041817041</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660353.755716441</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696498.960503041</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633012.055715763</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703102.748121763</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573133.157522055</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618041.547522055</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669635.317522055</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697928.509713055</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681285.794131055</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657004.716531055</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695701.716531055</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695701.716531055</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695701.716531055</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742138.116531055</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760264.644161339</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800065.612069747</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609326.230434613</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609326.230434613</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655762.630434613</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648023.230434613</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640283.830434613</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640283.830434613</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640283.830434613</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648023.230434613</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655762.630434613</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640283.830434613</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648023.230434613</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762449.310068213</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534018.6</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456624.6</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456624.6</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456624.6</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503061</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448885.2</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371491.2</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371491.2</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371491.2</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410188.2</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379230.6</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325054.8</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286357.8</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255400.2</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201224.4</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162527.4</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131569.8</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77394</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4429456.59404322</v>
      </c>
      <c r="N57" s="30" t="n">
        <f aca="false">SUM(N13:N56)</f>
        <v>5340081.2878879</v>
      </c>
      <c r="O57" s="30" t="n">
        <f aca="false">SUM(O13:O56)</f>
        <v>5492393.51137166</v>
      </c>
      <c r="P57" s="30" t="n">
        <f aca="false">SUM(P13:P56)</f>
        <v>6066376.80880717</v>
      </c>
      <c r="Q57" s="30" t="n">
        <f aca="false">SUM(Q13:Q56)</f>
        <v>6516706.6099063</v>
      </c>
      <c r="R57" s="30" t="n">
        <f aca="false">SUM(R13:R56)</f>
        <v>7006649.63268905</v>
      </c>
      <c r="S57" s="30" t="n">
        <f aca="false">SUM(S13:S56)</f>
        <v>8110834.63767067</v>
      </c>
      <c r="T57" s="30" t="n">
        <f aca="false">SUM(T13:T56)</f>
        <v>9390172.77655994</v>
      </c>
      <c r="U57" s="30" t="n">
        <f aca="false">SUM(U13:U56)</f>
        <v>9131653.25058629</v>
      </c>
      <c r="V57" s="30" t="n">
        <f aca="false">SUM(V13:V56)</f>
        <v>10263839.4736428</v>
      </c>
      <c r="W57" s="30" t="n">
        <f aca="false">SUM(W13:W56)</f>
        <v>9547139.21426512</v>
      </c>
      <c r="X57" s="30" t="n">
        <f aca="false">SUM(X13:X56)</f>
        <v>11626157.0762648</v>
      </c>
      <c r="Y57" s="30" t="n">
        <f aca="false">SUM(Y13:Y56)</f>
        <v>10753775.7822547</v>
      </c>
      <c r="Z57" s="30" t="n">
        <f aca="false">SUM(Z13:Z56)</f>
        <v>11856123.8481542</v>
      </c>
      <c r="AA57" s="30" t="n">
        <f aca="false">SUM(AA13:AA56)</f>
        <v>11427067.8715495</v>
      </c>
      <c r="AB57" s="30" t="n">
        <f aca="false">SUM(AB13:AB56)</f>
        <v>10877158.0769965</v>
      </c>
      <c r="AC57" s="30" t="n">
        <f aca="false">SUM(AC13:AC56)</f>
        <v>10256490.1732224</v>
      </c>
      <c r="AD57" s="30" t="n">
        <f aca="false">SUM(AD13:AD56)</f>
        <v>10386735.4329942</v>
      </c>
      <c r="AE57" s="30" t="n">
        <f aca="false">SUM(AE13:AE56)</f>
        <v>10670627.1853702</v>
      </c>
      <c r="AF57" s="30" t="n">
        <f aca="false">SUM(AF13:AF56)</f>
        <v>10608326.6663439</v>
      </c>
      <c r="AG57" s="30" t="n">
        <f aca="false">SUM(AG13:AG56)</f>
        <v>11345684.3865628</v>
      </c>
      <c r="AH57" s="30" t="n">
        <f aca="false">SUM(AH13:AH56)</f>
        <v>11208592.6251675</v>
      </c>
      <c r="AI57" s="30" t="n">
        <f aca="false">SUM(AI13:AI56)</f>
        <v>11211225.719239</v>
      </c>
      <c r="AJ57" s="30" t="n">
        <f aca="false">SUM(AJ13:AJ56)</f>
        <v>10472687.1324296</v>
      </c>
      <c r="AK57" s="30" t="n">
        <f aca="false">SUM(AK13:AK56)</f>
        <v>10419130.6461073</v>
      </c>
      <c r="AL57" s="30" t="n">
        <f aca="false">SUM(AL13:AL56)</f>
        <v>11032512.450801</v>
      </c>
      <c r="AM57" s="30" t="n">
        <f aca="false">SUM(AM13:AM56)</f>
        <v>11703112.9488825</v>
      </c>
      <c r="AN57" s="30" t="n">
        <f aca="false">SUM(AN13:AN56)</f>
        <v>11387346.1870644</v>
      </c>
      <c r="AO57" s="30" t="n">
        <f aca="false">SUM(AO13:AO56)</f>
        <v>11454705.4913547</v>
      </c>
      <c r="AP57" s="30" t="n">
        <f aca="false">SUM(AP13:AP56)</f>
        <v>12027827.2657852</v>
      </c>
      <c r="AQ57" s="30" t="n">
        <f aca="false">SUM(AQ13:AQ56)</f>
        <v>12196147.1943413</v>
      </c>
      <c r="AR57" s="30" t="n">
        <f aca="false">SUM(AR13:AR56)</f>
        <v>12649724.6083813</v>
      </c>
      <c r="AS57" s="30" t="n">
        <f aca="false">SUM(AS13:AS56)</f>
        <v>12921908.8564653</v>
      </c>
      <c r="AT57" s="30" t="n">
        <f aca="false">SUM(AT13:AT56)</f>
        <v>12884351.4122453</v>
      </c>
      <c r="AU57" s="30" t="n">
        <f aca="false">SUM(AU13:AU56)</f>
        <v>12800595.6650485</v>
      </c>
      <c r="AV57" s="30" t="n">
        <f aca="false">SUM(AV13:AV56)</f>
        <v>12948763.5309067</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5132510.77328436</v>
      </c>
      <c r="N58" s="30" t="n">
        <f aca="false">N10+N11+N57</f>
        <v>6170880.54384768</v>
      </c>
      <c r="O58" s="30" t="n">
        <f aca="false">O10+O11+O57</f>
        <v>6341866.6338124</v>
      </c>
      <c r="P58" s="30" t="n">
        <f aca="false">P10+P11+P57</f>
        <v>6945194.8312479</v>
      </c>
      <c r="Q58" s="30" t="n">
        <f aca="false">Q10+Q11+Q57</f>
        <v>7478990.28207471</v>
      </c>
      <c r="R58" s="30" t="n">
        <f aca="false">R10+R11+R57</f>
        <v>8013119.23425321</v>
      </c>
      <c r="S58" s="30" t="n">
        <f aca="false">S10+S11+S57</f>
        <v>9298158.89329206</v>
      </c>
      <c r="T58" s="30" t="n">
        <f aca="false">T10+T11+T57</f>
        <v>10671212.0221813</v>
      </c>
      <c r="U58" s="30" t="n">
        <f aca="false">U10+U11+U57</f>
        <v>10302952.0462077</v>
      </c>
      <c r="V58" s="30" t="n">
        <f aca="false">V10+V11+V57</f>
        <v>11572227.091369</v>
      </c>
      <c r="W58" s="30" t="n">
        <f aca="false">W10+W11+W57</f>
        <v>10740569.7242913</v>
      </c>
      <c r="X58" s="30" t="n">
        <f aca="false">X10+X11+X57</f>
        <v>13086545.6711499</v>
      </c>
      <c r="Y58" s="30" t="n">
        <f aca="false">Y10+Y11+Y57</f>
        <v>12030637.4571398</v>
      </c>
      <c r="Z58" s="30" t="n">
        <f aca="false">Z10+Z11+Z57</f>
        <v>13232912.5230393</v>
      </c>
      <c r="AA58" s="30" t="n">
        <f aca="false">AA10+AA11+AA57</f>
        <v>12713689.6064346</v>
      </c>
      <c r="AB58" s="30" t="n">
        <f aca="false">AB10+AB11+AB57</f>
        <v>12133997.4418816</v>
      </c>
      <c r="AC58" s="30" t="n">
        <f aca="false">AC10+AC11+AC57</f>
        <v>11417092.6981075</v>
      </c>
      <c r="AD58" s="30" t="n">
        <f aca="false">AD10+AD11+AD57</f>
        <v>11569903.9978792</v>
      </c>
      <c r="AE58" s="30" t="n">
        <f aca="false">AE10+AE11+AE57</f>
        <v>12002539.0711238</v>
      </c>
      <c r="AF58" s="30" t="n">
        <f aca="false">AF10+AF11+AF57</f>
        <v>12098622.6788162</v>
      </c>
      <c r="AG58" s="30" t="n">
        <f aca="false">AG10+AG11+AG57</f>
        <v>12877731.8020787</v>
      </c>
      <c r="AH58" s="30" t="n">
        <f aca="false">AH10+AH11+AH57</f>
        <v>12825610.8153582</v>
      </c>
      <c r="AI58" s="30" t="n">
        <f aca="false">AI10+AI11+AI57</f>
        <v>12680289.4920653</v>
      </c>
      <c r="AJ58" s="30" t="n">
        <f aca="false">AJ10+AJ11+AJ57</f>
        <v>12108917.3042195</v>
      </c>
      <c r="AK58" s="30" t="n">
        <f aca="false">AK10+AK11+AK57</f>
        <v>11752836.0602968</v>
      </c>
      <c r="AL58" s="30" t="n">
        <f aca="false">AL10+AL11+AL57</f>
        <v>12470581.8249904</v>
      </c>
      <c r="AM58" s="30" t="n">
        <f aca="false">AM10+AM11+AM57</f>
        <v>13261217.263072</v>
      </c>
      <c r="AN58" s="30" t="n">
        <f aca="false">AN10+AN11+AN57</f>
        <v>13014671.5033586</v>
      </c>
      <c r="AO58" s="30" t="n">
        <f aca="false">AO10+AO11+AO57</f>
        <v>13044376.7457394</v>
      </c>
      <c r="AP58" s="30" t="n">
        <f aca="false">AP10+AP11+AP57</f>
        <v>13560842.5155699</v>
      </c>
      <c r="AQ58" s="30" t="n">
        <f aca="false">AQ10+AQ11+AQ57</f>
        <v>13819455.694126</v>
      </c>
      <c r="AR58" s="30" t="n">
        <f aca="false">AR10+AR11+AR57</f>
        <v>14273033.108166</v>
      </c>
      <c r="AS58" s="30" t="n">
        <f aca="false">AS10+AS11+AS57</f>
        <v>14545217.35625</v>
      </c>
      <c r="AT58" s="30" t="n">
        <f aca="false">AT10+AT11+AT57</f>
        <v>14616011.81203</v>
      </c>
      <c r="AU58" s="30" t="n">
        <f aca="false">AU10+AU11+AU57</f>
        <v>14574551.413076</v>
      </c>
      <c r="AV58" s="30" t="n">
        <f aca="false">AV10+AV11+AV57</f>
        <v>14815588.461186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-4498046.20404322</v>
      </c>
      <c r="N104" s="30" t="n">
        <f aca="false">SUM(N60:N103)</f>
        <v>-5412477.3278879</v>
      </c>
      <c r="O104" s="30" t="n">
        <f aca="false">SUM(O60:O103)</f>
        <v>-5554213.38137166</v>
      </c>
      <c r="P104" s="30" t="n">
        <f aca="false">SUM(P60:P103)</f>
        <v>-6139012.67880717</v>
      </c>
      <c r="Q104" s="30" t="n">
        <f aca="false">SUM(Q60:Q103)</f>
        <v>-6579038.1199063</v>
      </c>
      <c r="R104" s="30" t="n">
        <f aca="false">SUM(R60:R103)</f>
        <v>-7057067.78268905</v>
      </c>
      <c r="S104" s="30" t="n">
        <f aca="false">SUM(S60:S103)</f>
        <v>-8161514.04767067</v>
      </c>
      <c r="T104" s="30" t="n">
        <f aca="false">SUM(T60:T103)</f>
        <v>-9451215.98655994</v>
      </c>
      <c r="U104" s="30" t="n">
        <f aca="false">SUM(U60:U103)</f>
        <v>-9186799.66058628</v>
      </c>
      <c r="V104" s="30" t="n">
        <f aca="false">SUM(V60:V103)</f>
        <v>-10284204.0836428</v>
      </c>
      <c r="W104" s="30" t="n">
        <f aca="false">SUM(W60:W103)</f>
        <v>-9549465.60426512</v>
      </c>
      <c r="X104" s="30" t="n">
        <f aca="false">SUM(X60:X103)</f>
        <v>-11625117.6162648</v>
      </c>
      <c r="Y104" s="30" t="n">
        <f aca="false">SUM(Y60:Y103)</f>
        <v>-10753125.6022547</v>
      </c>
      <c r="Z104" s="30" t="n">
        <f aca="false">SUM(Z60:Z103)</f>
        <v>-11855228.6281542</v>
      </c>
      <c r="AA104" s="30" t="n">
        <f aca="false">SUM(AA60:AA103)</f>
        <v>-11426353.8415495</v>
      </c>
      <c r="AB104" s="30" t="n">
        <f aca="false">SUM(AB60:AB103)</f>
        <v>-10876715.0269965</v>
      </c>
      <c r="AC104" s="30" t="n">
        <f aca="false">SUM(AC60:AC103)</f>
        <v>-10256216.1632224</v>
      </c>
      <c r="AD104" s="30" t="n">
        <f aca="false">SUM(AD60:AD103)</f>
        <v>-10386410.9529942</v>
      </c>
      <c r="AE104" s="30" t="n">
        <f aca="false">SUM(AE60:AE103)</f>
        <v>-10670322.6453702</v>
      </c>
      <c r="AF104" s="30" t="n">
        <f aca="false">SUM(AF60:AF103)</f>
        <v>-10607950.0663439</v>
      </c>
      <c r="AG104" s="30" t="n">
        <f aca="false">SUM(AG60:AG103)</f>
        <v>-11345030.3865628</v>
      </c>
      <c r="AH104" s="30" t="n">
        <f aca="false">SUM(AH60:AH103)</f>
        <v>-11207985.6651675</v>
      </c>
      <c r="AI104" s="30" t="n">
        <f aca="false">SUM(AI60:AI103)</f>
        <v>-11210632.319239</v>
      </c>
      <c r="AJ104" s="30" t="n">
        <f aca="false">SUM(AJ60:AJ103)</f>
        <v>-10472363.3824296</v>
      </c>
      <c r="AK104" s="30" t="n">
        <f aca="false">SUM(AK60:AK103)</f>
        <v>-10418861.8961073</v>
      </c>
      <c r="AL104" s="30" t="n">
        <f aca="false">SUM(AL60:AL103)</f>
        <v>-11032212.230801</v>
      </c>
      <c r="AM104" s="30" t="n">
        <f aca="false">SUM(AM60:AM103)</f>
        <v>-11702786.5988825</v>
      </c>
      <c r="AN104" s="30" t="n">
        <f aca="false">SUM(AN60:AN103)</f>
        <v>-11387258.3770644</v>
      </c>
      <c r="AO104" s="30" t="n">
        <f aca="false">SUM(AO60:AO103)</f>
        <v>-11454705.4913547</v>
      </c>
      <c r="AP104" s="30" t="n">
        <f aca="false">SUM(AP60:AP103)</f>
        <v>-12027827.2657852</v>
      </c>
      <c r="AQ104" s="30" t="n">
        <f aca="false">SUM(AQ60:AQ103)</f>
        <v>-12196147.1943413</v>
      </c>
      <c r="AR104" s="30" t="n">
        <f aca="false">SUM(AR60:AR103)</f>
        <v>-12649724.6083813</v>
      </c>
      <c r="AS104" s="30" t="n">
        <f aca="false">SUM(AS60:AS103)</f>
        <v>-12921908.8564653</v>
      </c>
      <c r="AT104" s="30" t="n">
        <f aca="false">SUM(AT60:AT103)</f>
        <v>-12884351.4122453</v>
      </c>
      <c r="AU104" s="30" t="n">
        <f aca="false">SUM(AU60:AU103)</f>
        <v>-12800595.6650485</v>
      </c>
      <c r="AV104" s="30" t="n">
        <f aca="false">SUM(AV60:AV103)</f>
        <v>-12948763.5309067</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257261.039056407</v>
      </c>
      <c r="N199" s="32" t="n">
        <f aca="false">N197+N198+N10+N11+N57+N104+N196</f>
        <v>757949.175959785</v>
      </c>
      <c r="O199" s="32" t="n">
        <f aca="false">O197+O198+O10+O11+O57+O104+O196</f>
        <v>787210.192440736</v>
      </c>
      <c r="P199" s="32" t="n">
        <f aca="false">P197+P198+P10+P11+P57+P104+P196</f>
        <v>805684.812440735</v>
      </c>
      <c r="Q199" s="32" t="n">
        <f aca="false">Q197+Q198+Q10+Q11+Q57+Q104+Q196</f>
        <v>566931.237599451</v>
      </c>
      <c r="R199" s="32" t="n">
        <f aca="false">R197+R198+R10+R11+R57+R104+R196</f>
        <v>751062.375763671</v>
      </c>
      <c r="S199" s="32" t="n">
        <f aca="false">S197+S198+S10+S11+S57+S104+S196</f>
        <v>333932.97495636</v>
      </c>
      <c r="T199" s="32" t="n">
        <f aca="false">T197+T198+T10+T11+T57+T104+T196</f>
        <v>1219348.63562138</v>
      </c>
      <c r="U199" s="32" t="n">
        <f aca="false">U197+U198+U10+U11+U57+U104+U196</f>
        <v>1115646.57562139</v>
      </c>
      <c r="V199" s="32" t="n">
        <f aca="false">V197+V198+V10+V11+V57+V104+V196</f>
        <v>1035118.95433943</v>
      </c>
      <c r="W199" s="32" t="n">
        <f aca="false">W197+W198+W10+W11+W57+W104+W196</f>
        <v>947568.954164063</v>
      </c>
      <c r="X199" s="32" t="n">
        <f aca="false">X197+X198+X10+X11+X57+X104+X196</f>
        <v>1460388.59488505</v>
      </c>
      <c r="Y199" s="32" t="n">
        <f aca="false">Y197+Y198+Y10+Y11+Y57+Y104+Y196</f>
        <v>1276861.67488505</v>
      </c>
      <c r="Z199" s="32" t="n">
        <f aca="false">Z197+Z198+Z10+Z11+Z57+Z104+Z196</f>
        <v>1376788.67488505</v>
      </c>
      <c r="AA199" s="32" t="n">
        <f aca="false">AA197+AA198+AA10+AA11+AA57+AA104+AA196</f>
        <v>1286621.73488504</v>
      </c>
      <c r="AB199" s="32" t="n">
        <f aca="false">AB197+AB198+AB10+AB11+AB57+AB104+AB196</f>
        <v>1256839.36488505</v>
      </c>
      <c r="AC199" s="32" t="n">
        <f aca="false">AC197+AC198+AC10+AC11+AC57+AC104+AC196</f>
        <v>1160602.52488505</v>
      </c>
      <c r="AD199" s="32" t="n">
        <f aca="false">AD197+AD198+AD10+AD11+AD57+AD104+AD196</f>
        <v>1183168.56488505</v>
      </c>
      <c r="AE199" s="32" t="n">
        <f aca="false">AE197+AE198+AE10+AE11+AE57+AE104+AE196</f>
        <v>599038.542797926</v>
      </c>
      <c r="AF199" s="32" t="n">
        <f aca="false">AF197+AF198+AF10+AF11+AF57+AF104+AF196</f>
        <v>1490296.01247225</v>
      </c>
      <c r="AG199" s="32" t="n">
        <f aca="false">AG197+AG198+AG10+AG11+AG57+AG104+AG196</f>
        <v>1532047.41551589</v>
      </c>
      <c r="AH199" s="32" t="n">
        <f aca="false">AH197+AH198+AH10+AH11+AH57+AH104+AH196</f>
        <v>1617018.19019074</v>
      </c>
      <c r="AI199" s="32" t="n">
        <f aca="false">AI197+AI198+AI10+AI11+AI57+AI104+AI196</f>
        <v>1469063.77282632</v>
      </c>
      <c r="AJ199" s="32" t="n">
        <f aca="false">AJ197+AJ198+AJ10+AJ11+AJ57+AJ104+AJ196</f>
        <v>1370405.0486371</v>
      </c>
      <c r="AK199" s="32" t="n">
        <f aca="false">AK197+AK198+AK10+AK11+AK57+AK104+AK196</f>
        <v>1333705.41418943</v>
      </c>
      <c r="AL199" s="32" t="n">
        <f aca="false">AL197+AL198+AL10+AL11+AL57+AL104+AL196</f>
        <v>1438069.37418943</v>
      </c>
      <c r="AM199" s="32" t="n">
        <f aca="false">AM197+AM198+AM10+AM11+AM57+AM104+AM196</f>
        <v>1558104.31418942</v>
      </c>
      <c r="AN199" s="32" t="n">
        <f aca="false">AN197+AN198+AN10+AN11+AN57+AN104+AN196</f>
        <v>1627325.31629418</v>
      </c>
      <c r="AO199" s="32" t="n">
        <f aca="false">AO197+AO198+AO10+AO11+AO57+AO104+AO196</f>
        <v>1589671.25438468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1731660.39978468</v>
      </c>
      <c r="AU199" s="32" t="n">
        <f aca="false">AU197+AU198+AU10+AU11+AU57+AU104+AU196</f>
        <v>1773955.74802752</v>
      </c>
      <c r="AV199" s="32" t="n">
        <f aca="false">AV197+AV198+AV10+AV11+AV57+AV104+AV196</f>
        <v>1866824.93027926</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0.0501238186182672</v>
      </c>
      <c r="N200" s="33" t="n">
        <f aca="false">IFERROR(N199/N58,0)</f>
        <v>0.122826745806229</v>
      </c>
      <c r="O200" s="33" t="n">
        <f aca="false">IFERROR(O199/O58,0)</f>
        <v>0.124129099190392</v>
      </c>
      <c r="P200" s="33" t="n">
        <f aca="false">IFERROR(P199/P58,0)</f>
        <v>0.116006077873552</v>
      </c>
      <c r="Q200" s="33" t="n">
        <f aca="false">IFERROR(Q199/Q58,0)</f>
        <v>0.0758031788005186</v>
      </c>
      <c r="R200" s="33" t="n">
        <f aca="false">IFERROR(R199/R58,0)</f>
        <v>0.0937290902340687</v>
      </c>
      <c r="S200" s="33" t="n">
        <f aca="false">IFERROR(S199/S58,0)</f>
        <v>0.0359138813165763</v>
      </c>
      <c r="T200" s="33" t="n">
        <f aca="false">IFERROR(T199/T58,0)</f>
        <v>0.114265243075185</v>
      </c>
      <c r="U200" s="33" t="n">
        <f aca="false">IFERROR(U199/U58,0)</f>
        <v>0.108284166578455</v>
      </c>
      <c r="V200" s="33" t="n">
        <f aca="false">IFERROR(V199/V58,0)</f>
        <v>0.0894485517927199</v>
      </c>
      <c r="W200" s="33" t="n">
        <f aca="false">IFERROR(W199/W58,0)</f>
        <v>0.0882233418233864</v>
      </c>
      <c r="X200" s="33" t="n">
        <f aca="false">IFERROR(X199/X58,0)</f>
        <v>0.111594658482304</v>
      </c>
      <c r="Y200" s="33" t="n">
        <f aca="false">IFERROR(Y199/Y58,0)</f>
        <v>0.106134166159855</v>
      </c>
      <c r="Z200" s="33" t="n">
        <f aca="false">IFERROR(Z199/Z58,0)</f>
        <v>0.104042754948163</v>
      </c>
      <c r="AA200" s="33" t="n">
        <f aca="false">IFERROR(AA199/AA58,0)</f>
        <v>0.101199712649416</v>
      </c>
      <c r="AB200" s="33" t="n">
        <f aca="false">IFERROR(AB199/AB58,0)</f>
        <v>0.10357999257087</v>
      </c>
      <c r="AC200" s="33" t="n">
        <f aca="false">IFERROR(AC199/AC58,0)</f>
        <v>0.101654821903779</v>
      </c>
      <c r="AD200" s="33" t="n">
        <f aca="false">IFERROR(AD199/AD58,0)</f>
        <v>0.102262608670039</v>
      </c>
      <c r="AE200" s="33" t="n">
        <f aca="false">IFERROR(AE199/AE58,0)</f>
        <v>0.0499093182907536</v>
      </c>
      <c r="AF200" s="33" t="n">
        <f aca="false">IFERROR(AF199/AF58,0)</f>
        <v>0.123178980949761</v>
      </c>
      <c r="AG200" s="33" t="n">
        <f aca="false">IFERROR(AG199/AG58,0)</f>
        <v>0.118968731377725</v>
      </c>
      <c r="AH200" s="33" t="n">
        <f aca="false">IFERROR(AH199/AH58,0)</f>
        <v>0.126077285009648</v>
      </c>
      <c r="AI200" s="33" t="n">
        <f aca="false">IFERROR(AI199/AI58,0)</f>
        <v>0.115854119398897</v>
      </c>
      <c r="AJ200" s="33" t="n">
        <f aca="false">IFERROR(AJ199/AJ58,0)</f>
        <v>0.113173210635402</v>
      </c>
      <c r="AK200" s="33" t="n">
        <f aca="false">IFERROR(AK199/AK58,0)</f>
        <v>0.113479453584393</v>
      </c>
      <c r="AL200" s="33" t="n">
        <f aca="false">IFERROR(AL199/AL58,0)</f>
        <v>0.115316943056146</v>
      </c>
      <c r="AM200" s="33" t="n">
        <f aca="false">IFERROR(AM199/AM58,0)</f>
        <v>0.117493310250502</v>
      </c>
      <c r="AN200" s="33" t="n">
        <f aca="false">IFERROR(AN199/AN58,0)</f>
        <v>0.125037755726238</v>
      </c>
      <c r="AO200" s="33" t="n">
        <f aca="false">IFERROR(AO199/AO58,0)</f>
        <v>0.121866401543784</v>
      </c>
      <c r="AP200" s="33" t="n">
        <f aca="false">IFERROR(AP199/AP58,0)</f>
        <v>0.0895243124169863</v>
      </c>
      <c r="AQ200" s="33" t="n">
        <f aca="false">IFERROR(AQ199/AQ58,0)</f>
        <v>0.117465444060483</v>
      </c>
      <c r="AR200" s="33" t="n">
        <f aca="false">IFERROR(AR199/AR58,0)</f>
        <v>0.113732553374092</v>
      </c>
      <c r="AS200" s="33" t="n">
        <f aca="false">IFERROR(AS199/AS58,0)</f>
        <v>0.111604279264149</v>
      </c>
      <c r="AT200" s="33" t="n">
        <f aca="false">IFERROR(AT199/AT58,0)</f>
        <v>0.11847694309876</v>
      </c>
      <c r="AU200" s="33" t="n">
        <f aca="false">IFERROR(AU199/AU58,0)</f>
        <v>0.121715975864338</v>
      </c>
      <c r="AV200" s="33" t="n">
        <f aca="false">IFERROR(AV199/AV58,0)</f>
        <v>0.126004102717215</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-431815.5924</v>
      </c>
      <c r="AD203" s="13" t="n">
        <f aca="false">IF(ISBLANK(Actuals!AE21),(-(SUMPRODUCT((Personnel!$O$9:$O$100="GC")*(Personnel!$G$9:$G$100="Yes")*(26&gt;=Personnel!$E$9:$E$100)*((Personnel!$K$9:$K$100="")+(26&lt;=Personnel!$K$9:$K$100)&gt;0)*Personnel!$D$9:$D$100*(1-Personnel!$H$9:$H$100))+Staffing!AD81))*Escalation!$B$27,Actuals!AE21)</f>
        <v>-431815.5924</v>
      </c>
      <c r="AE203" s="13" t="n">
        <f aca="false">IF(ISBLANK(Actuals!AF21),(-(SUMPRODUCT((Personnel!$O$9:$O$100="GC")*(Personnel!$G$9:$G$100="Yes")*(27&gt;=Personnel!$E$9:$E$100)*((Personnel!$K$9:$K$100="")+(27&lt;=Personnel!$K$9:$K$100)&gt;0)*Personnel!$D$9:$D$100*(1-Personnel!$H$9:$H$100))+Staffing!AE81))*Escalation!$B$28,Actuals!AF21)</f>
        <v>-431815.5924</v>
      </c>
      <c r="AF203" s="13" t="n">
        <f aca="false">IF(ISBLANK(Actuals!AG21),(-(SUMPRODUCT((Personnel!$O$9:$O$100="GC")*(Personnel!$G$9:$G$100="Yes")*(28&gt;=Personnel!$E$9:$E$100)*((Personnel!$K$9:$K$100="")+(28&lt;=Personnel!$K$9:$K$100)&gt;0)*Personnel!$D$9:$D$100*(1-Personnel!$H$9:$H$100))+Staffing!AF81))*Escalation!$B$29,Actuals!AG21)</f>
        <v>-431815.5924</v>
      </c>
      <c r="AG203" s="13" t="n">
        <f aca="false">IF(ISBLANK(Actuals!AH21),(-(SUMPRODUCT((Personnel!$O$9:$O$100="GC")*(Personnel!$G$9:$G$100="Yes")*(29&gt;=Personnel!$E$9:$E$100)*((Personnel!$K$9:$K$100="")+(29&lt;=Personnel!$K$9:$K$100)&gt;0)*Personnel!$D$9:$D$100*(1-Personnel!$H$9:$H$100))+Staffing!AG81))*Escalation!$B$30,Actuals!AH21)</f>
        <v>-442653.0924</v>
      </c>
      <c r="AH203" s="13" t="n">
        <f aca="false">IF(ISBLANK(Actuals!AI21),(-(SUMPRODUCT((Personnel!$O$9:$O$100="GC")*(Personnel!$G$9:$G$100="Yes")*(30&gt;=Personnel!$E$9:$E$100)*((Personnel!$K$9:$K$100="")+(30&lt;=Personnel!$K$9:$K$100)&gt;0)*Personnel!$D$9:$D$100*(1-Personnel!$H$9:$H$100))+Staffing!AH81))*Escalation!$B$31,Actuals!AI21)</f>
        <v>-442653.0924</v>
      </c>
      <c r="AI203" s="13" t="n">
        <f aca="false">IF(ISBLANK(Actuals!AJ21),(-(SUMPRODUCT((Personnel!$O$9:$O$100="GC")*(Personnel!$G$9:$G$100="Yes")*(31&gt;=Personnel!$E$9:$E$100)*((Personnel!$K$9:$K$100="")+(31&lt;=Personnel!$K$9:$K$100)&gt;0)*Personnel!$D$9:$D$100*(1-Personnel!$H$9:$H$100))+Staffing!AI81))*Escalation!$B$32,Actuals!AJ21)</f>
        <v>-442653.0924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-464328.0924</v>
      </c>
      <c r="AO203" s="13" t="n">
        <f aca="false">IF(ISBLANK(Actuals!AP21),(-(SUMPRODUCT((Personnel!$O$9:$O$100="GC")*(Personnel!$G$9:$G$100="Yes")*(37&gt;=Personnel!$E$9:$E$100)*((Personnel!$K$9:$K$100="")+(37&lt;=Personnel!$K$9:$K$100)&gt;0)*Personnel!$D$9:$D$100*(1-Personnel!$H$9:$H$100))+Staffing!AO81))*Escalation!$B$38,Actuals!AP21)</f>
        <v>-496165.324248</v>
      </c>
      <c r="AP203" s="13" t="n">
        <f aca="false">IF(ISBLANK(Actuals!AQ21),(-(SUMPRODUCT((Personnel!$O$9:$O$100="GC")*(Personnel!$G$9:$G$100="Yes")*(38&gt;=Personnel!$E$9:$E$100)*((Personnel!$K$9:$K$100="")+(38&lt;=Personnel!$K$9:$K$100)&gt;0)*Personnel!$D$9:$D$100*(1-Personnel!$H$9:$H$100))+Staffing!AP81))*Escalation!$B$39,Actuals!AQ21)</f>
        <v>-496165.324248</v>
      </c>
      <c r="AQ203" s="13" t="n">
        <f aca="false">IF(ISBLANK(Actuals!AR21),(-(SUMPRODUCT((Personnel!$O$9:$O$100="GC")*(Personnel!$G$9:$G$100="Yes")*(39&gt;=Personnel!$E$9:$E$100)*((Personnel!$K$9:$K$100="")+(39&lt;=Personnel!$K$9:$K$100)&gt;0)*Personnel!$D$9:$D$100*(1-Personnel!$H$9:$H$100))+Staffing!AQ81))*Escalation!$B$40,Actuals!AR21)</f>
        <v>-496165.324248</v>
      </c>
      <c r="AR203" s="13" t="n">
        <f aca="false">IF(ISBLANK(Actuals!AS21),(-(SUMPRODUCT((Personnel!$O$9:$O$100="GC")*(Personnel!$G$9:$G$100="Yes")*(40&gt;=Personnel!$E$9:$E$100)*((Personnel!$K$9:$K$100="")+(40&lt;=Personnel!$K$9:$K$100)&gt;0)*Personnel!$D$9:$D$100*(1-Personnel!$H$9:$H$100))+Staffing!AR81))*Escalation!$B$41,Actuals!AS21)</f>
        <v>-496165.324248</v>
      </c>
      <c r="AS203" s="13" t="n">
        <f aca="false">IF(ISBLANK(Actuals!AT21),(-(SUMPRODUCT((Personnel!$O$9:$O$100="GC")*(Personnel!$G$9:$G$100="Yes")*(41&gt;=Personnel!$E$9:$E$100)*((Personnel!$K$9:$K$100="")+(41&lt;=Personnel!$K$9:$K$100)&gt;0)*Personnel!$D$9:$D$100*(1-Personnel!$H$9:$H$100))+Staffing!AS81))*Escalation!$B$42,Actuals!AT21)</f>
        <v>-496165.324248</v>
      </c>
      <c r="AT203" s="13" t="n">
        <f aca="false">IF(ISBLANK(Actuals!AU21),(-(SUMPRODUCT((Personnel!$O$9:$O$100="GC")*(Personnel!$G$9:$G$100="Yes")*(42&gt;=Personnel!$E$9:$E$100)*((Personnel!$K$9:$K$100="")+(42&lt;=Personnel!$K$9:$K$100)&gt;0)*Personnel!$D$9:$D$100*(1-Personnel!$H$9:$H$100))+Staffing!AT81))*Escalation!$B$43,Actuals!AU21)</f>
        <v>-496165.324248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-496165.324248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-494362.28233296</v>
      </c>
      <c r="BB203" s="13" t="n">
        <f aca="false">IF(ISBLANK(Actuals!BC21),(-(SUMPRODUCT((Personnel!$O$9:$O$100="GC")*(Personnel!$G$9:$G$100="Yes")*(50&gt;=Personnel!$E$9:$E$100)*((Personnel!$K$9:$K$100="")+(50&lt;=Personnel!$K$9:$K$100)&gt;0)*Personnel!$D$9:$D$100*(1-Personnel!$H$9:$H$100))+Staffing!BB81))*Escalation!$B$51,Actuals!BC21)</f>
        <v>-455575.12993296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-34171.941468</v>
      </c>
      <c r="AD204" s="13" t="n">
        <f aca="false">IF(ISBLANK(Actuals!AE22),-Helpers!AB4*Assumptions!$B$20,Actuals!AE22)</f>
        <v>-34171.941468</v>
      </c>
      <c r="AE204" s="13" t="n">
        <f aca="false">IF(ISBLANK(Actuals!AF22),-Helpers!AC4*Assumptions!$B$20,Actuals!AF22)</f>
        <v>-34171.941468</v>
      </c>
      <c r="AF204" s="13" t="n">
        <f aca="false">IF(ISBLANK(Actuals!AG22),-Helpers!AD4*Assumptions!$B$20,Actuals!AG22)</f>
        <v>-34171.941468</v>
      </c>
      <c r="AG204" s="13" t="n">
        <f aca="false">IF(ISBLANK(Actuals!AH22),-Helpers!AE4*Assumptions!$B$20,Actuals!AH22)</f>
        <v>-34930.566468</v>
      </c>
      <c r="AH204" s="13" t="n">
        <f aca="false">IF(ISBLANK(Actuals!AI22),-Helpers!AF4*Assumptions!$B$20,Actuals!AI22)</f>
        <v>-34930.566468</v>
      </c>
      <c r="AI204" s="13" t="n">
        <f aca="false">IF(ISBLANK(Actuals!AJ22),-Helpers!AG4*Assumptions!$B$20,Actuals!AJ22)</f>
        <v>-34930.566468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-36447.816468</v>
      </c>
      <c r="AO204" s="13" t="n">
        <f aca="false">IF(ISBLANK(Actuals!AP22),-Helpers!AM4*Assumptions!$B$20,Actuals!AP22)</f>
        <v>-38755.31969736</v>
      </c>
      <c r="AP204" s="13" t="n">
        <f aca="false">IF(ISBLANK(Actuals!AQ22),-Helpers!AN4*Assumptions!$B$20,Actuals!AQ22)</f>
        <v>-38755.31969736</v>
      </c>
      <c r="AQ204" s="13" t="n">
        <f aca="false">IF(ISBLANK(Actuals!AR22),-Helpers!AO4*Assumptions!$B$20,Actuals!AR22)</f>
        <v>-38755.31969736</v>
      </c>
      <c r="AR204" s="13" t="n">
        <f aca="false">IF(ISBLANK(Actuals!AS22),-Helpers!AP4*Assumptions!$B$20,Actuals!AS22)</f>
        <v>-38755.31969736</v>
      </c>
      <c r="AS204" s="13" t="n">
        <f aca="false">IF(ISBLANK(Actuals!AT22),-Helpers!AQ4*Assumptions!$B$20,Actuals!AT22)</f>
        <v>-38755.31969736</v>
      </c>
      <c r="AT204" s="13" t="n">
        <f aca="false">IF(ISBLANK(Actuals!AU22),-Helpers!AR4*Assumptions!$B$20,Actuals!AU22)</f>
        <v>-38755.31969736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-38755.31969736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-38709.5817033072</v>
      </c>
      <c r="BB204" s="13" t="n">
        <f aca="false">IF(ISBLANK(Actuals!BC22),-Helpers!AZ4*Assumptions!$B$20,Actuals!BC22)</f>
        <v>-35994.4810353072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-17085.970734</v>
      </c>
      <c r="AD206" s="13" t="n">
        <f aca="false">IF(ISBLANK(Actuals!AE24),-Helpers!AB4*Assumptions!$B$24,Actuals!AE24)</f>
        <v>-17085.970734</v>
      </c>
      <c r="AE206" s="13" t="n">
        <f aca="false">IF(ISBLANK(Actuals!AF24),-Helpers!AC4*Assumptions!$B$24,Actuals!AF24)</f>
        <v>-17085.970734</v>
      </c>
      <c r="AF206" s="13" t="n">
        <f aca="false">IF(ISBLANK(Actuals!AG24),-Helpers!AD4*Assumptions!$B$24,Actuals!AG24)</f>
        <v>-17085.970734</v>
      </c>
      <c r="AG206" s="13" t="n">
        <f aca="false">IF(ISBLANK(Actuals!AH24),-Helpers!AE4*Assumptions!$B$24,Actuals!AH24)</f>
        <v>-17465.283234</v>
      </c>
      <c r="AH206" s="13" t="n">
        <f aca="false">IF(ISBLANK(Actuals!AI24),-Helpers!AF4*Assumptions!$B$24,Actuals!AI24)</f>
        <v>-17465.283234</v>
      </c>
      <c r="AI206" s="13" t="n">
        <f aca="false">IF(ISBLANK(Actuals!AJ24),-Helpers!AG4*Assumptions!$B$24,Actuals!AJ24)</f>
        <v>-17465.283234</v>
      </c>
      <c r="AJ206" s="13" t="n">
        <f aca="false">IF(ISBLANK(Actuals!AK24),-Helpers!AH4*Assumptions!$B$24,Actuals!AK24)</f>
        <v>-17465.283234</v>
      </c>
      <c r="AK206" s="13" t="n">
        <f aca="false">IF(ISBLANK(Actuals!AL24),-Helpers!AI4*Assumptions!$B$24,Actuals!AL24)</f>
        <v>-17465.283234</v>
      </c>
      <c r="AL206" s="13" t="n">
        <f aca="false">IF(ISBLANK(Actuals!AM24),-Helpers!AJ4*Assumptions!$B$24,Actuals!AM24)</f>
        <v>-17465.283234</v>
      </c>
      <c r="AM206" s="13" t="n">
        <f aca="false">IF(ISBLANK(Actuals!AN24),-Helpers!AK4*Assumptions!$B$24,Actuals!AN24)</f>
        <v>-17465.283234</v>
      </c>
      <c r="AN206" s="13" t="n">
        <f aca="false">IF(ISBLANK(Actuals!AO24),-Helpers!AL4*Assumptions!$B$24,Actuals!AO24)</f>
        <v>-18223.908234</v>
      </c>
      <c r="AO206" s="13" t="n">
        <f aca="false">IF(ISBLANK(Actuals!AP24),-Helpers!AM4*Assumptions!$B$24,Actuals!AP24)</f>
        <v>-19377.65984868</v>
      </c>
      <c r="AP206" s="13" t="n">
        <f aca="false">IF(ISBLANK(Actuals!AQ24),-Helpers!AN4*Assumptions!$B$24,Actuals!AQ24)</f>
        <v>-19377.65984868</v>
      </c>
      <c r="AQ206" s="13" t="n">
        <f aca="false">IF(ISBLANK(Actuals!AR24),-Helpers!AO4*Assumptions!$B$24,Actuals!AR24)</f>
        <v>-19377.65984868</v>
      </c>
      <c r="AR206" s="13" t="n">
        <f aca="false">IF(ISBLANK(Actuals!AS24),-Helpers!AP4*Assumptions!$B$24,Actuals!AS24)</f>
        <v>-19377.65984868</v>
      </c>
      <c r="AS206" s="13" t="n">
        <f aca="false">IF(ISBLANK(Actuals!AT24),-Helpers!AQ4*Assumptions!$B$24,Actuals!AT24)</f>
        <v>-19377.65984868</v>
      </c>
      <c r="AT206" s="13" t="n">
        <f aca="false">IF(ISBLANK(Actuals!AU24),-Helpers!AR4*Assumptions!$B$24,Actuals!AU24)</f>
        <v>-19377.65984868</v>
      </c>
      <c r="AU206" s="13" t="n">
        <f aca="false">IF(ISBLANK(Actuals!AV24),-Helpers!AS4*Assumptions!$B$24,Actuals!AV24)</f>
        <v>-19377.65984868</v>
      </c>
      <c r="AV206" s="13" t="n">
        <f aca="false">IF(ISBLANK(Actuals!AW24),-Helpers!AT4*Assumptions!$B$24,Actuals!AW24)</f>
        <v>-19377.65984868</v>
      </c>
      <c r="AW206" s="13" t="n">
        <f aca="false">IF(ISBLANK(Actuals!AX24),-Helpers!AU4*Assumptions!$B$24,Actuals!AX24)</f>
        <v>-19377.65984868</v>
      </c>
      <c r="AX206" s="13" t="n">
        <f aca="false">IF(ISBLANK(Actuals!AY24),-Helpers!AV4*Assumptions!$B$24,Actuals!AY24)</f>
        <v>-18975.28514868</v>
      </c>
      <c r="AY206" s="13" t="n">
        <f aca="false">IF(ISBLANK(Actuals!AZ24),-Helpers!AW4*Assumptions!$B$24,Actuals!AZ24)</f>
        <v>-18975.28514868</v>
      </c>
      <c r="AZ206" s="13" t="n">
        <f aca="false">IF(ISBLANK(Actuals!BA24),-Helpers!AX4*Assumptions!$B$24,Actuals!BA24)</f>
        <v>-18975.28514868</v>
      </c>
      <c r="BA206" s="13" t="n">
        <f aca="false">IF(ISBLANK(Actuals!BB24),-Helpers!AY4*Assumptions!$B$24,Actuals!BB24)</f>
        <v>-19354.7908516536</v>
      </c>
      <c r="BB206" s="13" t="n">
        <f aca="false">IF(ISBLANK(Actuals!BC24),-Helpers!AZ4*Assumptions!$B$24,Actuals!BC24)</f>
        <v>-17997.2405176536</v>
      </c>
      <c r="BC206" s="13" t="n">
        <f aca="false">IF(ISBLANK(Actuals!BD24),-Helpers!BA4*Assumptions!$B$24,Actuals!BD24)</f>
        <v>-17602.6037926536</v>
      </c>
      <c r="BD206" s="13" t="n">
        <f aca="false">IF(ISBLANK(Actuals!BE24),-Helpers!BB4*Assumptions!$B$24,Actuals!BE24)</f>
        <v>-17602.6037926536</v>
      </c>
      <c r="BE206" s="13" t="n">
        <f aca="false">IF(ISBLANK(Actuals!BF24),-Helpers!BC4*Assumptions!$B$24,Actuals!BF24)</f>
        <v>-17602.6037926536</v>
      </c>
      <c r="BF206" s="13" t="n">
        <f aca="false">IF(ISBLANK(Actuals!BG24),-Helpers!BD4*Assumptions!$B$24,Actuals!BG24)</f>
        <v>-17602.6037926536</v>
      </c>
      <c r="BG206" s="13" t="n">
        <f aca="false">IF(ISBLANK(Actuals!BH24),-Helpers!BE4*Assumptions!$B$24,Actuals!BH24)</f>
        <v>-17602.6037926536</v>
      </c>
      <c r="BH206" s="13" t="n">
        <f aca="false">IF(ISBLANK(Actuals!BI24),-Helpers!BF4*Assumptions!$B$24,Actuals!BI24)</f>
        <v>-17602.6037926536</v>
      </c>
      <c r="BI206" s="13" t="n">
        <f aca="false">IF(ISBLANK(Actuals!BJ24),-Helpers!BG4*Assumptions!$B$24,Actuals!BJ24)</f>
        <v>-17602.6037926536</v>
      </c>
      <c r="BJ206" s="13" t="n">
        <f aca="false">IF(ISBLANK(Actuals!BK24),-Helpers!BH4*Assumptions!$B$24,Actuals!BK24)</f>
        <v>-17602.6037926536</v>
      </c>
      <c r="BK206" s="13" t="n">
        <f aca="false">IF(ISBLANK(Actuals!BL24),-Helpers!BI4*Assumptions!$B$24,Actuals!BL24)</f>
        <v>-17192.1815986536</v>
      </c>
      <c r="BL206" s="13" t="n">
        <f aca="false">IF(ISBLANK(Actuals!BM24),-Helpers!BJ4*Assumptions!$B$24,Actuals!BM24)</f>
        <v>-17192.1815986536</v>
      </c>
      <c r="BM206" s="13" t="n">
        <f aca="false">IF(ISBLANK(Actuals!BN24),-Helpers!BK4*Assumptions!$B$24,Actuals!BN24)</f>
        <v>-17133.4957711267</v>
      </c>
      <c r="BN206" s="13" t="n">
        <f aca="false">IF(ISBLANK(Actuals!BO24),-Helpers!BL4*Assumptions!$B$24,Actuals!BO24)</f>
        <v>-16473.3474575467</v>
      </c>
      <c r="BO206" s="13" t="n">
        <f aca="false">IF(ISBLANK(Actuals!BP24),-Helpers!BM4*Assumptions!$B$24,Actuals!BP24)</f>
        <v>-14782.7237276467</v>
      </c>
      <c r="BP206" s="13" t="n">
        <f aca="false">IF(ISBLANK(Actuals!BQ24),-Helpers!BN4*Assumptions!$B$24,Actuals!BQ24)</f>
        <v>-13864.9565599867</v>
      </c>
      <c r="BQ206" s="13" t="n">
        <f aca="false">IF(ISBLANK(Actuals!BR24),-Helpers!BO4*Assumptions!$B$24,Actuals!BR24)</f>
        <v>-13446.3259221067</v>
      </c>
      <c r="BR206" s="13" t="n">
        <f aca="false">IF(ISBLANK(Actuals!BS24),-Helpers!BP4*Assumptions!$B$24,Actuals!BS24)</f>
        <v>-13446.3259221067</v>
      </c>
      <c r="BS206" s="13" t="n">
        <f aca="false">IF(ISBLANK(Actuals!BT24),-Helpers!BQ4*Assumptions!$B$24,Actuals!BT24)</f>
        <v>-13446.3259221067</v>
      </c>
      <c r="BT206" s="13" t="n">
        <f aca="false">IF(ISBLANK(Actuals!BU24),-Helpers!BR4*Assumptions!$B$24,Actuals!BU24)</f>
        <v>-12931.0882139467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-1464.5117772</v>
      </c>
      <c r="AD207" s="13" t="n">
        <f aca="false">IF(ISBLANK(Actuals!AE25),-Helpers!AB4*Assumptions!$B$27,Actuals!AE25)</f>
        <v>-1464.5117772</v>
      </c>
      <c r="AE207" s="13" t="n">
        <f aca="false">IF(ISBLANK(Actuals!AF25),-Helpers!AC4*Assumptions!$B$27,Actuals!AF25)</f>
        <v>-1464.5117772</v>
      </c>
      <c r="AF207" s="13" t="n">
        <f aca="false">IF(ISBLANK(Actuals!AG25),-Helpers!AD4*Assumptions!$B$27,Actuals!AG25)</f>
        <v>-1464.5117772</v>
      </c>
      <c r="AG207" s="13" t="n">
        <f aca="false">IF(ISBLANK(Actuals!AH25),-Helpers!AE4*Assumptions!$B$27,Actuals!AH25)</f>
        <v>-1497.0242772</v>
      </c>
      <c r="AH207" s="13" t="n">
        <f aca="false">IF(ISBLANK(Actuals!AI25),-Helpers!AF4*Assumptions!$B$27,Actuals!AI25)</f>
        <v>-1497.0242772</v>
      </c>
      <c r="AI207" s="13" t="n">
        <f aca="false">IF(ISBLANK(Actuals!AJ25),-Helpers!AG4*Assumptions!$B$27,Actuals!AJ25)</f>
        <v>-1497.0242772</v>
      </c>
      <c r="AJ207" s="13" t="n">
        <f aca="false">IF(ISBLANK(Actuals!AK25),-Helpers!AH4*Assumptions!$B$27,Actuals!AK25)</f>
        <v>-1497.0242772</v>
      </c>
      <c r="AK207" s="13" t="n">
        <f aca="false">IF(ISBLANK(Actuals!AL25),-Helpers!AI4*Assumptions!$B$27,Actuals!AL25)</f>
        <v>-1497.0242772</v>
      </c>
      <c r="AL207" s="13" t="n">
        <f aca="false">IF(ISBLANK(Actuals!AM25),-Helpers!AJ4*Assumptions!$B$27,Actuals!AM25)</f>
        <v>-1497.0242772</v>
      </c>
      <c r="AM207" s="13" t="n">
        <f aca="false">IF(ISBLANK(Actuals!AN25),-Helpers!AK4*Assumptions!$B$27,Actuals!AN25)</f>
        <v>-1497.0242772</v>
      </c>
      <c r="AN207" s="13" t="n">
        <f aca="false">IF(ISBLANK(Actuals!AO25),-Helpers!AL4*Assumptions!$B$27,Actuals!AO25)</f>
        <v>-1562.0492772</v>
      </c>
      <c r="AO207" s="13" t="n">
        <f aca="false">IF(ISBLANK(Actuals!AP25),-Helpers!AM4*Assumptions!$B$27,Actuals!AP25)</f>
        <v>-1660.942272744</v>
      </c>
      <c r="AP207" s="13" t="n">
        <f aca="false">IF(ISBLANK(Actuals!AQ25),-Helpers!AN4*Assumptions!$B$27,Actuals!AQ25)</f>
        <v>-1660.942272744</v>
      </c>
      <c r="AQ207" s="13" t="n">
        <f aca="false">IF(ISBLANK(Actuals!AR25),-Helpers!AO4*Assumptions!$B$27,Actuals!AR25)</f>
        <v>-1660.942272744</v>
      </c>
      <c r="AR207" s="13" t="n">
        <f aca="false">IF(ISBLANK(Actuals!AS25),-Helpers!AP4*Assumptions!$B$27,Actuals!AS25)</f>
        <v>-1660.942272744</v>
      </c>
      <c r="AS207" s="13" t="n">
        <f aca="false">IF(ISBLANK(Actuals!AT25),-Helpers!AQ4*Assumptions!$B$27,Actuals!AT25)</f>
        <v>-1660.942272744</v>
      </c>
      <c r="AT207" s="13" t="n">
        <f aca="false">IF(ISBLANK(Actuals!AU25),-Helpers!AR4*Assumptions!$B$27,Actuals!AU25)</f>
        <v>-1660.942272744</v>
      </c>
      <c r="AU207" s="13" t="n">
        <f aca="false">IF(ISBLANK(Actuals!AV25),-Helpers!AS4*Assumptions!$B$27,Actuals!AV25)</f>
        <v>-1660.942272744</v>
      </c>
      <c r="AV207" s="13" t="n">
        <f aca="false">IF(ISBLANK(Actuals!AW25),-Helpers!AT4*Assumptions!$B$27,Actuals!AW25)</f>
        <v>-1660.942272744</v>
      </c>
      <c r="AW207" s="13" t="n">
        <f aca="false">IF(ISBLANK(Actuals!AX25),-Helpers!AU4*Assumptions!$B$27,Actuals!AX25)</f>
        <v>-1660.942272744</v>
      </c>
      <c r="AX207" s="13" t="n">
        <f aca="false">IF(ISBLANK(Actuals!AY25),-Helpers!AV4*Assumptions!$B$27,Actuals!AY25)</f>
        <v>-1626.453012744</v>
      </c>
      <c r="AY207" s="13" t="n">
        <f aca="false">IF(ISBLANK(Actuals!AZ25),-Helpers!AW4*Assumptions!$B$27,Actuals!AZ25)</f>
        <v>-1626.453012744</v>
      </c>
      <c r="AZ207" s="13" t="n">
        <f aca="false">IF(ISBLANK(Actuals!BA25),-Helpers!AX4*Assumptions!$B$27,Actuals!BA25)</f>
        <v>-1626.453012744</v>
      </c>
      <c r="BA207" s="13" t="n">
        <f aca="false">IF(ISBLANK(Actuals!BB25),-Helpers!AY4*Assumptions!$B$27,Actuals!BB25)</f>
        <v>-1658.98207299888</v>
      </c>
      <c r="BB207" s="13" t="n">
        <f aca="false">IF(ISBLANK(Actuals!BC25),-Helpers!AZ4*Assumptions!$B$27,Actuals!BC25)</f>
        <v>-1542.62061579888</v>
      </c>
      <c r="BC207" s="13" t="n">
        <f aca="false">IF(ISBLANK(Actuals!BD25),-Helpers!BA4*Assumptions!$B$27,Actuals!BD25)</f>
        <v>-1508.79461079888</v>
      </c>
      <c r="BD207" s="13" t="n">
        <f aca="false">IF(ISBLANK(Actuals!BE25),-Helpers!BB4*Assumptions!$B$27,Actuals!BE25)</f>
        <v>-1508.79461079888</v>
      </c>
      <c r="BE207" s="13" t="n">
        <f aca="false">IF(ISBLANK(Actuals!BF25),-Helpers!BC4*Assumptions!$B$27,Actuals!BF25)</f>
        <v>-1508.79461079888</v>
      </c>
      <c r="BF207" s="13" t="n">
        <f aca="false">IF(ISBLANK(Actuals!BG25),-Helpers!BD4*Assumptions!$B$27,Actuals!BG25)</f>
        <v>-1508.79461079888</v>
      </c>
      <c r="BG207" s="13" t="n">
        <f aca="false">IF(ISBLANK(Actuals!BH25),-Helpers!BE4*Assumptions!$B$27,Actuals!BH25)</f>
        <v>-1508.79461079888</v>
      </c>
      <c r="BH207" s="13" t="n">
        <f aca="false">IF(ISBLANK(Actuals!BI25),-Helpers!BF4*Assumptions!$B$27,Actuals!BI25)</f>
        <v>-1508.79461079888</v>
      </c>
      <c r="BI207" s="13" t="n">
        <f aca="false">IF(ISBLANK(Actuals!BJ25),-Helpers!BG4*Assumptions!$B$27,Actuals!BJ25)</f>
        <v>-1508.79461079888</v>
      </c>
      <c r="BJ207" s="13" t="n">
        <f aca="false">IF(ISBLANK(Actuals!BK25),-Helpers!BH4*Assumptions!$B$27,Actuals!BK25)</f>
        <v>-1508.79461079888</v>
      </c>
      <c r="BK207" s="13" t="n">
        <f aca="false">IF(ISBLANK(Actuals!BL25),-Helpers!BI4*Assumptions!$B$27,Actuals!BL25)</f>
        <v>-1473.61556559888</v>
      </c>
      <c r="BL207" s="13" t="n">
        <f aca="false">IF(ISBLANK(Actuals!BM25),-Helpers!BJ4*Assumptions!$B$27,Actuals!BM25)</f>
        <v>-1473.61556559888</v>
      </c>
      <c r="BM207" s="13" t="n">
        <f aca="false">IF(ISBLANK(Actuals!BN25),-Helpers!BK4*Assumptions!$B$27,Actuals!BN25)</f>
        <v>-1468.58535181086</v>
      </c>
      <c r="BN207" s="13" t="n">
        <f aca="false">IF(ISBLANK(Actuals!BO25),-Helpers!BL4*Assumptions!$B$27,Actuals!BO25)</f>
        <v>-1412.00121064686</v>
      </c>
      <c r="BO207" s="13" t="n">
        <f aca="false">IF(ISBLANK(Actuals!BP25),-Helpers!BM4*Assumptions!$B$27,Actuals!BP25)</f>
        <v>-1267.09060522686</v>
      </c>
      <c r="BP207" s="13" t="n">
        <f aca="false">IF(ISBLANK(Actuals!BQ25),-Helpers!BN4*Assumptions!$B$27,Actuals!BQ25)</f>
        <v>-1188.42484799886</v>
      </c>
      <c r="BQ207" s="13" t="n">
        <f aca="false">IF(ISBLANK(Actuals!BR25),-Helpers!BO4*Assumptions!$B$27,Actuals!BR25)</f>
        <v>-1152.54222189486</v>
      </c>
      <c r="BR207" s="13" t="n">
        <f aca="false">IF(ISBLANK(Actuals!BS25),-Helpers!BP4*Assumptions!$B$27,Actuals!BS25)</f>
        <v>-1152.54222189486</v>
      </c>
      <c r="BS207" s="13" t="n">
        <f aca="false">IF(ISBLANK(Actuals!BT25),-Helpers!BQ4*Assumptions!$B$27,Actuals!BT25)</f>
        <v>-1152.54222189486</v>
      </c>
      <c r="BT207" s="13" t="n">
        <f aca="false">IF(ISBLANK(Actuals!BU25),-Helpers!BR4*Assumptions!$B$27,Actuals!BU25)</f>
        <v>-1108.37898976686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-2440.852962</v>
      </c>
      <c r="AD208" s="13" t="n">
        <f aca="false">IF(ISBLANK(Actuals!AE26),-Helpers!AB4*Assumptions!$B$21,Actuals!AE26)</f>
        <v>-2440.852962</v>
      </c>
      <c r="AE208" s="13" t="n">
        <f aca="false">IF(ISBLANK(Actuals!AF26),-Helpers!AC4*Assumptions!$B$21,Actuals!AF26)</f>
        <v>-2440.852962</v>
      </c>
      <c r="AF208" s="13" t="n">
        <f aca="false">IF(ISBLANK(Actuals!AG26),-Helpers!AD4*Assumptions!$B$21,Actuals!AG26)</f>
        <v>-2440.852962</v>
      </c>
      <c r="AG208" s="13" t="n">
        <f aca="false">IF(ISBLANK(Actuals!AH26),-Helpers!AE4*Assumptions!$B$21,Actuals!AH26)</f>
        <v>-2495.040462</v>
      </c>
      <c r="AH208" s="13" t="n">
        <f aca="false">IF(ISBLANK(Actuals!AI26),-Helpers!AF4*Assumptions!$B$21,Actuals!AI26)</f>
        <v>-2495.040462</v>
      </c>
      <c r="AI208" s="13" t="n">
        <f aca="false">IF(ISBLANK(Actuals!AJ26),-Helpers!AG4*Assumptions!$B$21,Actuals!AJ26)</f>
        <v>-2495.040462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-2603.415462</v>
      </c>
      <c r="AO208" s="13" t="n">
        <f aca="false">IF(ISBLANK(Actuals!AP26),-Helpers!AM4*Assumptions!$B$21,Actuals!AP26)</f>
        <v>-2768.23712124</v>
      </c>
      <c r="AP208" s="13" t="n">
        <f aca="false">IF(ISBLANK(Actuals!AQ26),-Helpers!AN4*Assumptions!$B$21,Actuals!AQ26)</f>
        <v>-2768.23712124</v>
      </c>
      <c r="AQ208" s="13" t="n">
        <f aca="false">IF(ISBLANK(Actuals!AR26),-Helpers!AO4*Assumptions!$B$21,Actuals!AR26)</f>
        <v>-2768.23712124</v>
      </c>
      <c r="AR208" s="13" t="n">
        <f aca="false">IF(ISBLANK(Actuals!AS26),-Helpers!AP4*Assumptions!$B$21,Actuals!AS26)</f>
        <v>-2768.23712124</v>
      </c>
      <c r="AS208" s="13" t="n">
        <f aca="false">IF(ISBLANK(Actuals!AT26),-Helpers!AQ4*Assumptions!$B$21,Actuals!AT26)</f>
        <v>-2768.23712124</v>
      </c>
      <c r="AT208" s="13" t="n">
        <f aca="false">IF(ISBLANK(Actuals!AU26),-Helpers!AR4*Assumptions!$B$21,Actuals!AU26)</f>
        <v>-2768.23712124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-2768.23712124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-2764.9701216648</v>
      </c>
      <c r="BB208" s="13" t="n">
        <f aca="false">IF(ISBLANK(Actuals!BC26),-Helpers!AZ4*Assumptions!$B$21,Actuals!BC26)</f>
        <v>-2571.0343596648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-9375</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-18750</v>
      </c>
      <c r="AO223" s="13" t="n">
        <f aca="false">IF(ISBLANK(Actuals!AP41),-(SUMPRODUCT((Personnel!$O$9:$O$100="GC")*(Personnel!$G$9:$G$100="Yes")*(Personnel!$E$9:$E$100&gt;=2)*(Personnel!$Q$9:$Q$100&lt;&gt;"No")*(Personnel!$E$9:$E$100=37)*Personnel!$C$9:$C$100)*Staffing!$B$21+Staffing!AO84),Actuals!AP41)</f>
        <v>-19125</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-10000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-33076.9230769231</v>
      </c>
      <c r="BC223" s="13" t="n">
        <f aca="false">IF(ISBLANK(Actuals!BD41),-(SUMPRODUCT((Personnel!$O$9:$O$100="GC")*(Personnel!$G$9:$G$100="Yes")*(Personnel!$E$9:$E$100&gt;=2)*(Personnel!$Q$9:$Q$100&lt;&gt;"No")*(Personnel!$E$9:$E$100=51)*Personnel!$C$9:$C$100)*Staffing!$B$21+Staffing!BC84),Actuals!BD41)</f>
        <v>-9615.38461538462</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-45000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-37500</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-37500</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-80720.9288328144</v>
      </c>
      <c r="AU234" s="21" t="n">
        <f aca="false">IF(ISBLANK(Actuals!AV52),-MAX(0,'BD Commission Detail'!AV53),Actuals!AV52)</f>
        <v>-124797.078985337</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-83004.1585784149</v>
      </c>
      <c r="AZ234" s="21" t="n">
        <f aca="false">IF(ISBLANK(Actuals!BA52),-MAX(0,'BD Commission Detail'!BA53),Actuals!BA52)</f>
        <v>-83879.7210477828</v>
      </c>
      <c r="BA234" s="21" t="n">
        <f aca="false">IF(ISBLANK(Actuals!BB52),-MAX(0,'BD Commission Detail'!BB53),Actuals!BB52)</f>
        <v>-93464.7654686071</v>
      </c>
      <c r="BB234" s="21" t="n">
        <f aca="false">IF(ISBLANK(Actuals!BC52),-MAX(0,'BD Commission Detail'!BC53),Actuals!BC52)</f>
        <v>-101739.204014748</v>
      </c>
      <c r="BC234" s="21" t="n">
        <f aca="false">IF(ISBLANK(Actuals!BD52),-MAX(0,'BD Commission Detail'!BD53),Actuals!BD52)</f>
        <v>-94829.4458213381</v>
      </c>
      <c r="BD234" s="21" t="n">
        <f aca="false">IF(ISBLANK(Actuals!BE52),-MAX(0,'BD Commission Detail'!BE53),Actuals!BE52)</f>
        <v>-95929.7870169925</v>
      </c>
      <c r="BE234" s="21" t="n">
        <f aca="false">IF(ISBLANK(Actuals!BF52),-MAX(0,'BD Commission Detail'!BF53),Actuals!BF52)</f>
        <v>-132706.010142264</v>
      </c>
      <c r="BF234" s="21" t="n">
        <f aca="false">IF(ISBLANK(Actuals!BG52),-MAX(0,'BD Commission Detail'!BG53),Actuals!BG52)</f>
        <v>-96874.1256695196</v>
      </c>
      <c r="BG234" s="21" t="n">
        <f aca="false">IF(ISBLANK(Actuals!BH52),-MAX(0,'BD Commission Detail'!BH53),Actuals!BH52)</f>
        <v>-97145.6366484755</v>
      </c>
      <c r="BH234" s="21" t="n">
        <f aca="false">IF(ISBLANK(Actuals!BI52),-MAX(0,'BD Commission Detail'!BI53),Actuals!BI52)</f>
        <v>-133800.946329346</v>
      </c>
      <c r="BI234" s="21" t="n">
        <f aca="false">IF(ISBLANK(Actuals!BJ52),-MAX(0,'BD Commission Detail'!BJ53),Actuals!BJ52)</f>
        <v>-97385.6029258706</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-84496.4369704665</v>
      </c>
      <c r="BN234" s="21" t="n">
        <f aca="false">IF(ISBLANK(Actuals!BO52),-MAX(0,'BD Commission Detail'!BO53),Actuals!BO52)</f>
        <v>-54494.1875519308</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-50795.2732662606</v>
      </c>
      <c r="BS234" s="21" t="n">
        <f aca="false">IF(ISBLANK(Actuals!BT52),-MAX(0,'BD Commission Detail'!BT53),Actuals!BT52)</f>
        <v>-78224.0000345518</v>
      </c>
      <c r="BT234" s="21" t="n">
        <f aca="false">IF(ISBLANK(Actuals!BU52),-MAX(0,'BD Commission Detail'!BU53),Actuals!BU52)</f>
        <v>-47750.7506931619</v>
      </c>
      <c r="BU234" s="21" t="n">
        <f aca="false">IF(ISBLANK(Actuals!BV52),-MAX(0,'BD Commission Detail'!BV53),Actuals!BV52)</f>
        <v>-45073.7637875327</v>
      </c>
      <c r="BV234" s="21" t="n">
        <f aca="false">IF(ISBLANK(Actuals!BW52),-MAX(0,'BD Commission Detail'!BW53),Actuals!BW52)</f>
        <v>-69755.4040487163</v>
      </c>
      <c r="BW234" s="21" t="n">
        <f aca="false">IF(ISBLANK(Actuals!BX52),-MAX(0,'BD Commission Detail'!BX53),Actuals!BX52)</f>
        <v>-35083.5088146097</v>
      </c>
      <c r="BX234" s="21" t="n">
        <f aca="false">IF(ISBLANK(Actuals!BY52),-MAX(0,'BD Commission Detail'!BY53),Actuals!BY52)</f>
        <v>-25611.8232861546</v>
      </c>
      <c r="BY234" s="21" t="n">
        <f aca="false">IF(ISBLANK(Actuals!BZ52),-MAX(0,'BD Commission Detail'!BZ53),Actuals!BZ52)</f>
        <v>-37528.2063336811</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-622281.23371</v>
      </c>
      <c r="Z236" s="30" t="n">
        <f aca="false">SUM(Z202:Z235)+Actuals!AA54</f>
        <v>-559715.40726</v>
      </c>
      <c r="AA236" s="30" t="n">
        <f aca="false">SUM(AA202:AA235)+Actuals!AB54</f>
        <v>-559715.40726</v>
      </c>
      <c r="AB236" s="30" t="n">
        <f aca="false">SUM(AB202:AB235)+Actuals!AC54</f>
        <v>-559715.40726</v>
      </c>
      <c r="AC236" s="30" t="n">
        <f aca="false">SUM(AC202:AC235)+Actuals!AD54</f>
        <v>-615609.7154052</v>
      </c>
      <c r="AD236" s="30" t="n">
        <f aca="false">SUM(AD202:AD235)+Actuals!AE54</f>
        <v>-570609.7154052</v>
      </c>
      <c r="AE236" s="30" t="n">
        <f aca="false">SUM(AE202:AE235)+Actuals!AF54</f>
        <v>-570609.7154052</v>
      </c>
      <c r="AF236" s="30" t="n">
        <f aca="false">SUM(AF202:AF235)+Actuals!AG54</f>
        <v>-570609.7154052</v>
      </c>
      <c r="AG236" s="30" t="n">
        <f aca="false">SUM(AG202:AG235)+Actuals!AH54</f>
        <v>-592046.8529052</v>
      </c>
      <c r="AH236" s="30" t="n">
        <f aca="false">SUM(AH202:AH235)+Actuals!AI54</f>
        <v>-627671.8529052</v>
      </c>
      <c r="AI236" s="30" t="n">
        <f aca="false">SUM(AI202:AI235)+Actuals!AJ54</f>
        <v>-627671.8529052</v>
      </c>
      <c r="AJ236" s="30" t="n">
        <f aca="false">SUM(AJ202:AJ235)+Actuals!AK54</f>
        <v>-620171.8529052</v>
      </c>
      <c r="AK236" s="30" t="n">
        <f aca="false">SUM(AK202:AK235)+Actuals!AL54</f>
        <v>-620171.8529052</v>
      </c>
      <c r="AL236" s="30" t="n">
        <f aca="false">SUM(AL202:AL235)+Actuals!AM54</f>
        <v>-620171.8529052</v>
      </c>
      <c r="AM236" s="30" t="n">
        <f aca="false">SUM(AM202:AM235)+Actuals!AN54</f>
        <v>-620171.8529052</v>
      </c>
      <c r="AN236" s="30" t="n">
        <f aca="false">SUM(AN202:AN235)+Actuals!AO54</f>
        <v>-670546.1279052</v>
      </c>
      <c r="AO236" s="30" t="n">
        <f aca="false">SUM(AO202:AO235)+Actuals!AP54</f>
        <v>-700355.946173304</v>
      </c>
      <c r="AP236" s="30" t="n">
        <f aca="false">SUM(AP202:AP235)+Actuals!AQ54</f>
        <v>-681230.946173304</v>
      </c>
      <c r="AQ236" s="30" t="n">
        <f aca="false">SUM(AQ202:AQ235)+Actuals!AR54</f>
        <v>-688730.946173304</v>
      </c>
      <c r="AR236" s="30" t="n">
        <f aca="false">SUM(AR202:AR235)+Actuals!AS54</f>
        <v>-681230.946173304</v>
      </c>
      <c r="AS236" s="30" t="n">
        <f aca="false">SUM(AS202:AS235)+Actuals!AT54</f>
        <v>-643730.946173304</v>
      </c>
      <c r="AT236" s="30" t="n">
        <f aca="false">SUM(AT202:AT235)+Actuals!AU54</f>
        <v>-724451.875006119</v>
      </c>
      <c r="AU236" s="30" t="n">
        <f aca="false">SUM(AU202:AU235)+Actuals!AV54</f>
        <v>-768528.025158641</v>
      </c>
      <c r="AV236" s="30" t="n">
        <f aca="false">SUM(AV202:AV235)+Actuals!AW54</f>
        <v>-688730.946173304</v>
      </c>
      <c r="AW236" s="30" t="n">
        <f aca="false">SUM(AW202:AW235)+Actuals!AX54</f>
        <v>-681230.946173304</v>
      </c>
      <c r="AX236" s="30" t="n">
        <f aca="false">SUM(AX202:AX235)+Actuals!AY54</f>
        <v>-640935.430713304</v>
      </c>
      <c r="AY236" s="30" t="n">
        <f aca="false">SUM(AY202:AY235)+Actuals!AZ54</f>
        <v>-713939.589291719</v>
      </c>
      <c r="AZ236" s="30" t="n">
        <f aca="false">SUM(AZ202:AZ235)+Actuals!BA54</f>
        <v>-714815.151761087</v>
      </c>
      <c r="BA236" s="30" t="n">
        <f aca="false">SUM(BA202:BA235)+Actuals!BB54</f>
        <v>-736718.904796177</v>
      </c>
      <c r="BB236" s="30" t="n">
        <f aca="false">SUM(BB202:BB235)+Actuals!BC54</f>
        <v>-734900.165798041</v>
      </c>
      <c r="BC236" s="30" t="n">
        <f aca="false">SUM(BC202:BC235)+Actuals!BD54</f>
        <v>-691979.421288093</v>
      </c>
      <c r="BD236" s="30" t="n">
        <f aca="false">SUM(BD202:BD235)+Actuals!BE54</f>
        <v>-683464.377868363</v>
      </c>
      <c r="BE236" s="30" t="n">
        <f aca="false">SUM(BE202:BE235)+Actuals!BF54</f>
        <v>-720240.600993634</v>
      </c>
      <c r="BF236" s="30" t="n">
        <f aca="false">SUM(BF202:BF235)+Actuals!BG54</f>
        <v>-684408.71652089</v>
      </c>
      <c r="BG236" s="30" t="n">
        <f aca="false">SUM(BG202:BG235)+Actuals!BH54</f>
        <v>-684680.227499846</v>
      </c>
      <c r="BH236" s="30" t="n">
        <f aca="false">SUM(BH202:BH235)+Actuals!BI54</f>
        <v>-721335.537180717</v>
      </c>
      <c r="BI236" s="30" t="n">
        <f aca="false">SUM(BI202:BI235)+Actuals!BJ54</f>
        <v>-684920.193777241</v>
      </c>
      <c r="BJ236" s="30" t="n">
        <f aca="false">SUM(BJ202:BJ235)+Actuals!BK54</f>
        <v>-587534.59085137</v>
      </c>
      <c r="BK236" s="30" t="n">
        <f aca="false">SUM(BK202:BK235)+Actuals!BL54</f>
        <v>-584483.16508217</v>
      </c>
      <c r="BL236" s="30" t="n">
        <f aca="false">SUM(BL202:BL235)+Actuals!BM54</f>
        <v>-574483.16508217</v>
      </c>
      <c r="BM236" s="30" t="n">
        <f aca="false">SUM(BM202:BM235)+Actuals!BN54</f>
        <v>-666984.213157565</v>
      </c>
      <c r="BN236" s="30" t="n">
        <f aca="false">SUM(BN202:BN235)+Actuals!BO54</f>
        <v>-622143.093521031</v>
      </c>
      <c r="BO236" s="30" t="n">
        <f aca="false">SUM(BO202:BO235)+Actuals!BP54</f>
        <v>-538502.455973665</v>
      </c>
      <c r="BP236" s="30" t="n">
        <f aca="false">SUM(BP202:BP235)+Actuals!BQ54</f>
        <v>-490855.921580538</v>
      </c>
      <c r="BQ236" s="30" t="n">
        <f aca="false">SUM(BQ202:BQ235)+Actuals!BR54</f>
        <v>-465620.390372878</v>
      </c>
      <c r="BR236" s="30" t="n">
        <f aca="false">SUM(BR202:BR235)+Actuals!BS54</f>
        <v>-506415.663639138</v>
      </c>
      <c r="BS236" s="30" t="n">
        <f aca="false">SUM(BS202:BS235)+Actuals!BT54</f>
        <v>-533844.390407429</v>
      </c>
      <c r="BT236" s="30" t="n">
        <f aca="false">SUM(BT202:BT235)+Actuals!BU54</f>
        <v>-499294.274254244</v>
      </c>
      <c r="BU236" s="30" t="n">
        <f aca="false">SUM(BU202:BU235)+Actuals!BV54</f>
        <v>-477047.676032411</v>
      </c>
      <c r="BV236" s="30" t="n">
        <f aca="false">SUM(BV202:BV235)+Actuals!BW54</f>
        <v>-479806.239370518</v>
      </c>
      <c r="BW236" s="30" t="n">
        <f aca="false">SUM(BW202:BW235)+Actuals!BX54</f>
        <v>-445134.344136411</v>
      </c>
      <c r="BX236" s="30" t="n">
        <f aca="false">SUM(BX202:BX235)+Actuals!BY54</f>
        <v>-435662.658607956</v>
      </c>
      <c r="BY236" s="30" t="n">
        <f aca="false">SUM(BY202:BY235)+Actuals!BZ54</f>
        <v>-455480.058361919</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120153.790333334</v>
      </c>
      <c r="L237" s="37" t="n">
        <f aca="false">L199+L236</f>
        <v>61434.3503333338</v>
      </c>
      <c r="M237" s="37" t="n">
        <f aca="false">M199+M236</f>
        <v>-225667.840610259</v>
      </c>
      <c r="N237" s="37" t="n">
        <f aca="false">N199+N236</f>
        <v>325058.212959785</v>
      </c>
      <c r="O237" s="37" t="n">
        <f aca="false">O199+O236</f>
        <v>269645.479440736</v>
      </c>
      <c r="P237" s="37" t="n">
        <f aca="false">P199+P236</f>
        <v>328995.099440735</v>
      </c>
      <c r="Q237" s="37" t="n">
        <f aca="false">Q199+Q236</f>
        <v>53870.9303394508</v>
      </c>
      <c r="R237" s="37" t="n">
        <f aca="false">R199+R236</f>
        <v>188096.243503671</v>
      </c>
      <c r="S237" s="37" t="n">
        <f aca="false">S199+S236</f>
        <v>-244907.432303641</v>
      </c>
      <c r="T237" s="37" t="n">
        <f aca="false">T199+T236</f>
        <v>659633.228361382</v>
      </c>
      <c r="U237" s="37" t="n">
        <f aca="false">U199+U236</f>
        <v>555931.168361385</v>
      </c>
      <c r="V237" s="37" t="n">
        <f aca="false">V199+V236</f>
        <v>475403.547079433</v>
      </c>
      <c r="W237" s="37" t="n">
        <f aca="false">W199+W236</f>
        <v>387853.546904062</v>
      </c>
      <c r="X237" s="37" t="n">
        <f aca="false">X199+X236</f>
        <v>900673.187625049</v>
      </c>
      <c r="Y237" s="37" t="n">
        <f aca="false">Y199+Y236</f>
        <v>654580.441175046</v>
      </c>
      <c r="Z237" s="37" t="n">
        <f aca="false">Z199+Z236</f>
        <v>817073.267625048</v>
      </c>
      <c r="AA237" s="37" t="n">
        <f aca="false">AA199+AA236</f>
        <v>726906.327625042</v>
      </c>
      <c r="AB237" s="37" t="n">
        <f aca="false">AB199+AB236</f>
        <v>697123.957625047</v>
      </c>
      <c r="AC237" s="37" t="n">
        <f aca="false">AC199+AC236</f>
        <v>544992.809479849</v>
      </c>
      <c r="AD237" s="37" t="n">
        <f aca="false">AD199+AD236</f>
        <v>612558.849479846</v>
      </c>
      <c r="AE237" s="37" t="n">
        <f aca="false">AE199+AE236</f>
        <v>28428.8273927256</v>
      </c>
      <c r="AF237" s="37" t="n">
        <f aca="false">AF199+AF236</f>
        <v>919686.297067048</v>
      </c>
      <c r="AG237" s="37" t="n">
        <f aca="false">AG199+AG236</f>
        <v>940000.562610692</v>
      </c>
      <c r="AH237" s="37" t="n">
        <f aca="false">AH199+AH236</f>
        <v>989346.337285542</v>
      </c>
      <c r="AI237" s="37" t="n">
        <f aca="false">AI199+AI236</f>
        <v>841391.919921116</v>
      </c>
      <c r="AJ237" s="37" t="n">
        <f aca="false">AJ199+AJ236</f>
        <v>750233.195731899</v>
      </c>
      <c r="AK237" s="37" t="n">
        <f aca="false">AK199+AK236</f>
        <v>713533.561284228</v>
      </c>
      <c r="AL237" s="37" t="n">
        <f aca="false">AL199+AL236</f>
        <v>817897.521284229</v>
      </c>
      <c r="AM237" s="37" t="n">
        <f aca="false">AM199+AM236</f>
        <v>937932.461284225</v>
      </c>
      <c r="AN237" s="37" t="n">
        <f aca="false">AN199+AN236</f>
        <v>956779.188388977</v>
      </c>
      <c r="AO237" s="37" t="n">
        <f aca="false">AO199+AO236</f>
        <v>889315.308211374</v>
      </c>
      <c r="AP237" s="37" t="n">
        <f aca="false">AP199+AP236</f>
        <v>532794.155828123</v>
      </c>
      <c r="AQ237" s="37" t="n">
        <f aca="false">AQ199+AQ236</f>
        <v>934577.553611374</v>
      </c>
      <c r="AR237" s="37" t="n">
        <f aca="false">AR199+AR236</f>
        <v>942077.553611374</v>
      </c>
      <c r="AS237" s="37" t="n">
        <f aca="false">AS199+AS236</f>
        <v>979577.553611374</v>
      </c>
      <c r="AT237" s="37" t="n">
        <f aca="false">AT199+AT236</f>
        <v>1007208.52477856</v>
      </c>
      <c r="AU237" s="37" t="n">
        <f aca="false">AU199+AU236</f>
        <v>1005427.72286888</v>
      </c>
      <c r="AV237" s="37" t="n">
        <f aca="false">AV199+AV236</f>
        <v>1178093.98410596</v>
      </c>
      <c r="AW237" s="37" t="n">
        <f aca="false">AW199+AW236</f>
        <v>740534.194695242</v>
      </c>
      <c r="AX237" s="37" t="n">
        <f aca="false">AX199+AX236</f>
        <v>780829.710155242</v>
      </c>
      <c r="AY237" s="37" t="n">
        <f aca="false">AY199+AY236</f>
        <v>816177.451576828</v>
      </c>
      <c r="AZ237" s="37" t="n">
        <f aca="false">AZ199+AZ236</f>
        <v>797243.23910746</v>
      </c>
      <c r="BA237" s="37" t="n">
        <f aca="false">BA199+BA236</f>
        <v>757280.836072369</v>
      </c>
      <c r="BB237" s="37" t="n">
        <f aca="false">BB199+BB236</f>
        <v>493274.451917796</v>
      </c>
      <c r="BC237" s="37" t="n">
        <f aca="false">BC199+BC236</f>
        <v>802020.319580453</v>
      </c>
      <c r="BD237" s="37" t="n">
        <f aca="false">BD199+BD236</f>
        <v>828594.013000184</v>
      </c>
      <c r="BE237" s="37" t="n">
        <f aca="false">BE199+BE236</f>
        <v>809876.439874913</v>
      </c>
      <c r="BF237" s="37" t="n">
        <f aca="false">BF199+BF236</f>
        <v>809591.024347656</v>
      </c>
      <c r="BG237" s="37" t="n">
        <f aca="false">BG199+BG236</f>
        <v>827378.163368701</v>
      </c>
      <c r="BH237" s="37" t="n">
        <f aca="false">BH199+BH236</f>
        <v>791892.655590721</v>
      </c>
      <c r="BI237" s="37" t="n">
        <f aca="false">BI199+BI236</f>
        <v>561126.656222759</v>
      </c>
      <c r="BJ237" s="37" t="n">
        <f aca="false">BJ199+BJ236</f>
        <v>477925.75914863</v>
      </c>
      <c r="BK237" s="37" t="n">
        <f aca="false">BK199+BK236</f>
        <v>480977.184917829</v>
      </c>
      <c r="BL237" s="37" t="n">
        <f aca="false">BL199+BL236</f>
        <v>490977.184917829</v>
      </c>
      <c r="BM237" s="37" t="n">
        <f aca="false">BM199+BM236</f>
        <v>506828.036842435</v>
      </c>
      <c r="BN237" s="37" t="n">
        <f aca="false">BN199+BN236</f>
        <v>425258.606478968</v>
      </c>
      <c r="BO237" s="37" t="n">
        <f aca="false">BO199+BO236</f>
        <v>328312.744026334</v>
      </c>
      <c r="BP237" s="37" t="n">
        <f aca="false">BP199+BP236</f>
        <v>375959.278419462</v>
      </c>
      <c r="BQ237" s="37" t="n">
        <f aca="false">BQ199+BQ236</f>
        <v>401194.809627123</v>
      </c>
      <c r="BR237" s="37" t="n">
        <f aca="false">BR199+BR236</f>
        <v>450692.786360862</v>
      </c>
      <c r="BS237" s="37" t="n">
        <f aca="false">BS199+BS236</f>
        <v>351029.45959257</v>
      </c>
      <c r="BT237" s="37" t="n">
        <f aca="false">BT199+BT236</f>
        <v>259169.025745756</v>
      </c>
      <c r="BU237" s="37" t="n">
        <f aca="false">BU199+BU236</f>
        <v>191122.373967589</v>
      </c>
      <c r="BV237" s="37" t="n">
        <f aca="false">BV199+BV236</f>
        <v>116129.210629482</v>
      </c>
      <c r="BW237" s="37" t="n">
        <f aca="false">BW199+BW236</f>
        <v>24390.5558635888</v>
      </c>
      <c r="BX237" s="37" t="n">
        <f aca="false">BX199+BX236</f>
        <v>-56431.0086079562</v>
      </c>
      <c r="BY237" s="37" t="n">
        <f aca="false">BY199+BY236</f>
        <v>-148483.008361919</v>
      </c>
      <c r="BZ237" s="37" t="n">
        <f aca="false">BZ199+BZ236</f>
        <v>-237365.352028238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0.0204902251404864</v>
      </c>
      <c r="L238" s="33" t="n">
        <f aca="false">IFERROR(L237/L58,0)</f>
        <v>0.0129888091611911</v>
      </c>
      <c r="M238" s="33" t="n">
        <f aca="false">IFERROR(M237/M58,0)</f>
        <v>-0.0439683130885767</v>
      </c>
      <c r="N238" s="33" t="n">
        <f aca="false">IFERROR(N237/N58,0)</f>
        <v>0.052676147374764</v>
      </c>
      <c r="O238" s="33" t="n">
        <f aca="false">IFERROR(O237/O58,0)</f>
        <v>0.0425183144033793</v>
      </c>
      <c r="P238" s="33" t="n">
        <f aca="false">IFERROR(P237/P58,0)</f>
        <v>0.0473701757019856</v>
      </c>
      <c r="Q238" s="33" t="n">
        <f aca="false">IFERROR(Q237/Q58,0)</f>
        <v>0.00720296835637908</v>
      </c>
      <c r="R238" s="33" t="n">
        <f aca="false">IFERROR(R237/R58,0)</f>
        <v>0.0234735360856265</v>
      </c>
      <c r="S238" s="33" t="n">
        <f aca="false">IFERROR(S237/S58,0)</f>
        <v>-0.026339346865789</v>
      </c>
      <c r="T238" s="33" t="n">
        <f aca="false">IFERROR(T237/T58,0)</f>
        <v>0.0618142744226484</v>
      </c>
      <c r="U238" s="33" t="n">
        <f aca="false">IFERROR(U237/U58,0)</f>
        <v>0.0539584350065973</v>
      </c>
      <c r="V238" s="33" t="n">
        <f aca="false">IFERROR(V237/V58,0)</f>
        <v>0.0410814222124977</v>
      </c>
      <c r="W238" s="33" t="n">
        <f aca="false">IFERROR(W237/W58,0)</f>
        <v>0.036111077611356</v>
      </c>
      <c r="X238" s="33" t="n">
        <f aca="false">IFERROR(X237/X58,0)</f>
        <v>0.0688243643707018</v>
      </c>
      <c r="Y238" s="33" t="n">
        <f aca="false">IFERROR(Y237/Y58,0)</f>
        <v>0.0544094561495222</v>
      </c>
      <c r="Z238" s="33" t="n">
        <f aca="false">IFERROR(Z237/Z58,0)</f>
        <v>0.0617455353235711</v>
      </c>
      <c r="AA238" s="33" t="n">
        <f aca="false">IFERROR(AA237/AA58,0)</f>
        <v>0.057175088438304</v>
      </c>
      <c r="AB238" s="33" t="n">
        <f aca="false">IFERROR(AB237/AB58,0)</f>
        <v>0.0574521266354368</v>
      </c>
      <c r="AC238" s="33" t="n">
        <f aca="false">IFERROR(AC237/AC58,0)</f>
        <v>0.0477348151487102</v>
      </c>
      <c r="AD238" s="33" t="n">
        <f aca="false">IFERROR(AD237/AD58,0)</f>
        <v>0.0529441600891528</v>
      </c>
      <c r="AE238" s="33" t="n">
        <f aca="false">IFERROR(AE237/AE58,0)</f>
        <v>0.00236856778588797</v>
      </c>
      <c r="AF238" s="33" t="n">
        <f aca="false">IFERROR(AF237/AF58,0)</f>
        <v>0.0760157847287322</v>
      </c>
      <c r="AG238" s="33" t="n">
        <f aca="false">IFERROR(AG237/AG58,0)</f>
        <v>0.0729942646001494</v>
      </c>
      <c r="AH238" s="33" t="n">
        <f aca="false">IFERROR(AH237/AH58,0)</f>
        <v>0.0771383407409207</v>
      </c>
      <c r="AI238" s="33" t="n">
        <f aca="false">IFERROR(AI237/AI58,0)</f>
        <v>0.0663543147376577</v>
      </c>
      <c r="AJ238" s="33" t="n">
        <f aca="false">IFERROR(AJ237/AJ58,0)</f>
        <v>0.0619570831052314</v>
      </c>
      <c r="AK238" s="33" t="n">
        <f aca="false">IFERROR(AK237/AK58,0)</f>
        <v>0.0607116067665298</v>
      </c>
      <c r="AL238" s="33" t="n">
        <f aca="false">IFERROR(AL237/AL58,0)</f>
        <v>0.065586155703273</v>
      </c>
      <c r="AM238" s="33" t="n">
        <f aca="false">IFERROR(AM237/AM58,0)</f>
        <v>0.0707274786829752</v>
      </c>
      <c r="AN238" s="33" t="n">
        <f aca="false">IFERROR(AN237/AN58,0)</f>
        <v>0.0735154312686318</v>
      </c>
      <c r="AO238" s="33" t="n">
        <f aca="false">IFERROR(AO237/AO58,0)</f>
        <v>0.0681761440616047</v>
      </c>
      <c r="AP238" s="33" t="n">
        <f aca="false">IFERROR(AP237/AP58,0)</f>
        <v>0.0392891632814404</v>
      </c>
      <c r="AQ238" s="33" t="n">
        <f aca="false">IFERROR(AQ237/AQ58,0)</f>
        <v>0.0676276674202602</v>
      </c>
      <c r="AR238" s="33" t="n">
        <f aca="false">IFERROR(AR237/AR58,0)</f>
        <v>0.0660040193609854</v>
      </c>
      <c r="AS238" s="33" t="n">
        <f aca="false">IFERROR(AS237/AS58,0)</f>
        <v>0.0673470550228976</v>
      </c>
      <c r="AT238" s="33" t="n">
        <f aca="false">IFERROR(AT237/AT58,0)</f>
        <v>0.0689113102624585</v>
      </c>
      <c r="AU238" s="33" t="n">
        <f aca="false">IFERROR(AU237/AU58,0)</f>
        <v>0.0689851573727906</v>
      </c>
      <c r="AV238" s="33" t="n">
        <f aca="false">IFERROR(AV237/AV58,0)</f>
        <v>0.0795171914495559</v>
      </c>
      <c r="AW238" s="33" t="n">
        <f aca="false">IFERROR(AW237/AW58,0)</f>
        <v>0.0532188711466683</v>
      </c>
      <c r="AX238" s="33" t="n">
        <f aca="false">IFERROR(AX237/AX58,0)</f>
        <v>0.057639828164513</v>
      </c>
      <c r="AY238" s="33" t="n">
        <f aca="false">IFERROR(AY237/AY58,0)</f>
        <v>0.0627740466627033</v>
      </c>
      <c r="AZ238" s="33" t="n">
        <f aca="false">IFERROR(AZ237/AZ58,0)</f>
        <v>0.0646761039008953</v>
      </c>
      <c r="BA238" s="33" t="n">
        <f aca="false">IFERROR(BA237/BA58,0)</f>
        <v>0.0642317872929782</v>
      </c>
      <c r="BB238" s="33" t="n">
        <f aca="false">IFERROR(BB237/BB58,0)</f>
        <v>0.0435074865507604</v>
      </c>
      <c r="BC238" s="33" t="n">
        <f aca="false">IFERROR(BC237/BC58,0)</f>
        <v>0.0730693599948885</v>
      </c>
      <c r="BD238" s="33" t="n">
        <f aca="false">IFERROR(BD237/BD58,0)</f>
        <v>0.0767080368513866</v>
      </c>
      <c r="BE238" s="33" t="n">
        <f aca="false">IFERROR(BE237/BE58,0)</f>
        <v>0.0757956164686529</v>
      </c>
      <c r="BF238" s="33" t="n">
        <f aca="false">IFERROR(BF237/BF58,0)</f>
        <v>0.0761776583979996</v>
      </c>
      <c r="BG238" s="33" t="n">
        <f aca="false">IFERROR(BG237/BG58,0)</f>
        <v>0.0762996019403095</v>
      </c>
      <c r="BH238" s="33" t="n">
        <f aca="false">IFERROR(BH237/BH58,0)</f>
        <v>0.0713381656414209</v>
      </c>
      <c r="BI238" s="33" t="n">
        <f aca="false">IFERROR(BI237/BI58,0)</f>
        <v>0.0539146360015207</v>
      </c>
      <c r="BJ238" s="33" t="n">
        <f aca="false">IFERROR(BJ237/BJ58,0)</f>
        <v>0.0458787088713284</v>
      </c>
      <c r="BK238" s="33" t="n">
        <f aca="false">IFERROR(BK237/BK58,0)</f>
        <v>0.0450991525099553</v>
      </c>
      <c r="BL238" s="33" t="n">
        <f aca="false">IFERROR(BL237/BL58,0)</f>
        <v>0.0457286935755585</v>
      </c>
      <c r="BM238" s="33" t="n">
        <f aca="false">IFERROR(BM237/BM58,0)</f>
        <v>0.0477035590027755</v>
      </c>
      <c r="BN238" s="33" t="n">
        <f aca="false">IFERROR(BN237/BN58,0)</f>
        <v>0.0427285263210904</v>
      </c>
      <c r="BO238" s="33" t="n">
        <f aca="false">IFERROR(BO237/BO58,0)</f>
        <v>0.0354624958456412</v>
      </c>
      <c r="BP238" s="33" t="n">
        <f aca="false">IFERROR(BP237/BP58,0)</f>
        <v>0.0428030371610978</v>
      </c>
      <c r="BQ238" s="33" t="n">
        <f aca="false">IFERROR(BQ237/BQ58,0)</f>
        <v>0.0491709838450788</v>
      </c>
      <c r="BR238" s="33" t="n">
        <f aca="false">IFERROR(BR237/BR58,0)</f>
        <v>0.0607359785320905</v>
      </c>
      <c r="BS238" s="33" t="n">
        <f aca="false">IFERROR(BS237/BS58,0)</f>
        <v>0.0557818891235828</v>
      </c>
      <c r="BT238" s="33" t="n">
        <f aca="false">IFERROR(BT237/BT58,0)</f>
        <v>0.0504244714274372</v>
      </c>
      <c r="BU238" s="33" t="n">
        <f aca="false">IFERROR(BU237/BU58,0)</f>
        <v>0.0463145414191791</v>
      </c>
      <c r="BV238" s="33" t="n">
        <f aca="false">IFERROR(BV237/BV58,0)</f>
        <v>0.0363513008299479</v>
      </c>
      <c r="BW238" s="33" t="n">
        <f aca="false">IFERROR(BW237/BW58,0)</f>
        <v>0.0106229441058545</v>
      </c>
      <c r="BX238" s="33" t="n">
        <f aca="false">IFERROR(BX237/BX58,0)</f>
        <v>-0.0357229954414628</v>
      </c>
      <c r="BY238" s="33" t="n">
        <f aca="false">IFERROR(BY237/BY58,0)</f>
        <v>-0.153277371257481</v>
      </c>
      <c r="BZ238" s="33" t="n">
        <f aca="false">IFERROR(BZ237/BZ58,0)</f>
        <v>-0.596762710784874</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-365730.58373789</v>
      </c>
      <c r="CB292" s="30" t="n">
        <f aca="false">SUM(CB263:CB291)+Actuals!CC113</f>
        <v>-217934.58373789</v>
      </c>
      <c r="CC292" s="30" t="n">
        <f aca="false">SUM(CC263:CC291)+Actuals!CD113</f>
        <v>-217934.58373789</v>
      </c>
      <c r="CD292" s="30" t="n">
        <f aca="false">SUM(CD263:CD291)+Actuals!CE113</f>
        <v>-372452.58373789</v>
      </c>
      <c r="CE292" s="30" t="n">
        <f aca="false">SUM(CE263:CE291)+Actuals!CF113</f>
        <v>-217934.58373789</v>
      </c>
      <c r="CF292" s="30" t="n">
        <f aca="false">SUM(CF263:CF291)+Actuals!CG113</f>
        <v>-217934.58373789</v>
      </c>
      <c r="CG292" s="30" t="n">
        <f aca="false">SUM(CG263:CG291)+Actuals!CH113</f>
        <v>-372451.58373789</v>
      </c>
      <c r="CH292" s="30" t="n">
        <f aca="false">SUM(CH263:CH291)+Actuals!CI113</f>
        <v>-217934.58373789</v>
      </c>
      <c r="CI292" s="30" t="n">
        <f aca="false">SUM(CI263:CI291)+Actuals!CJ113</f>
        <v>-217934.58373789</v>
      </c>
      <c r="CJ292" s="30" t="n">
        <f aca="false">SUM(CJ263:CJ291)+Actuals!CK113</f>
        <v>-365843.557131411</v>
      </c>
      <c r="CK292" s="30" t="n">
        <f aca="false">SUM(CK263:CK291)+Actuals!CL113</f>
        <v>-295105.515412648</v>
      </c>
      <c r="CL292" s="30" t="n">
        <f aca="false">SUM(CL263:CL291)+Actuals!CM113</f>
        <v>-295105.515412648</v>
      </c>
      <c r="CM292" s="30" t="n">
        <f aca="false">SUM(CM263:CM291)+Actuals!CN113</f>
        <v>-295105.515412648</v>
      </c>
      <c r="CN292" s="30" t="n">
        <f aca="false">SUM(CN263:CN291)+Actuals!CO113</f>
        <v>-295105.515412648</v>
      </c>
      <c r="CO292" s="30" t="n">
        <f aca="false">SUM(CO263:CO291)+Actuals!CP113</f>
        <v>-295105.515412648</v>
      </c>
      <c r="CP292" s="30" t="n">
        <f aca="false">SUM(CP263:CP291)+Actuals!CQ113</f>
        <v>-295105.515412648</v>
      </c>
      <c r="CQ292" s="30" t="n">
        <f aca="false">SUM(CQ263:CQ291)+Actuals!CR113</f>
        <v>-295105.515412648</v>
      </c>
      <c r="CR292" s="30" t="n">
        <f aca="false">SUM(CR263:CR291)+Actuals!CS113</f>
        <v>-295105.515412648</v>
      </c>
      <c r="CS292" s="30" t="n">
        <f aca="false">SUM(CS263:CS291)+Actuals!CT113</f>
        <v>-295105.515412648</v>
      </c>
      <c r="CT292" s="30" t="n">
        <f aca="false">SUM(CT263:CT291)+Actuals!CU113</f>
        <v>-289194.570414536</v>
      </c>
      <c r="CU292" s="30" t="n">
        <f aca="false">SUM(CU263:CU291)+Actuals!CV113</f>
        <v>-289194.570414536</v>
      </c>
      <c r="CV292" s="30" t="n">
        <f aca="false">SUM(CV263:CV291)+Actuals!CW113</f>
        <v>-289194.570414536</v>
      </c>
      <c r="CW292" s="30" t="n">
        <f aca="false">SUM(CW263:CW291)+Actuals!CX113</f>
        <v>-237464.450759234</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-6448.4507592342</v>
      </c>
      <c r="CX293" s="37" t="n">
        <f aca="false">CX261+CX292</f>
        <v>10998.398177173</v>
      </c>
      <c r="CY293" s="37" t="n">
        <f aca="false">CY261+CY292</f>
        <v>10998.398177173</v>
      </c>
      <c r="CZ293" s="37" t="n">
        <f aca="false">CZ261+CZ292</f>
        <v>10998.398177173</v>
      </c>
      <c r="DA293" s="37" t="n">
        <f aca="false">DA261+DA292</f>
        <v>10998.398177173</v>
      </c>
      <c r="DB293" s="37" t="n">
        <f aca="false">DB261+DB292</f>
        <v>10998.398177173</v>
      </c>
      <c r="DC293" s="37" t="n">
        <f aca="false">DC261+DC292</f>
        <v>10998.398177173</v>
      </c>
      <c r="DD293" s="37" t="n">
        <f aca="false">DD261+DD292</f>
        <v>10998.398177173</v>
      </c>
      <c r="DE293" s="37" t="n">
        <f aca="false">DE261+DE292</f>
        <v>10998.398177173</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257261.039056407</v>
      </c>
      <c r="N302" s="13" t="n">
        <f aca="false">N199</f>
        <v>757949.175959785</v>
      </c>
      <c r="O302" s="13" t="n">
        <f aca="false">O199</f>
        <v>787210.192440736</v>
      </c>
      <c r="P302" s="13" t="n">
        <f aca="false">P199</f>
        <v>805684.812440735</v>
      </c>
      <c r="Q302" s="13" t="n">
        <f aca="false">Q199</f>
        <v>566931.237599451</v>
      </c>
      <c r="R302" s="13" t="n">
        <f aca="false">R199</f>
        <v>751062.375763671</v>
      </c>
      <c r="S302" s="13" t="n">
        <f aca="false">S199</f>
        <v>333932.97495636</v>
      </c>
      <c r="T302" s="13" t="n">
        <f aca="false">T199</f>
        <v>1219348.63562138</v>
      </c>
      <c r="U302" s="13" t="n">
        <f aca="false">U199</f>
        <v>1115646.57562139</v>
      </c>
      <c r="V302" s="13" t="n">
        <f aca="false">V199</f>
        <v>1035118.95433943</v>
      </c>
      <c r="W302" s="13" t="n">
        <f aca="false">W199</f>
        <v>947568.954164063</v>
      </c>
      <c r="X302" s="13" t="n">
        <f aca="false">X199</f>
        <v>1460388.59488505</v>
      </c>
      <c r="Y302" s="13" t="n">
        <f aca="false">Y199</f>
        <v>1276861.67488505</v>
      </c>
      <c r="Z302" s="13" t="n">
        <f aca="false">Z199</f>
        <v>1376788.67488505</v>
      </c>
      <c r="AA302" s="13" t="n">
        <f aca="false">AA199</f>
        <v>1286621.73488504</v>
      </c>
      <c r="AB302" s="13" t="n">
        <f aca="false">AB199</f>
        <v>1256839.36488505</v>
      </c>
      <c r="AC302" s="13" t="n">
        <f aca="false">AC199</f>
        <v>1160602.52488505</v>
      </c>
      <c r="AD302" s="13" t="n">
        <f aca="false">AD199</f>
        <v>1183168.56488505</v>
      </c>
      <c r="AE302" s="13" t="n">
        <f aca="false">AE199</f>
        <v>599038.542797926</v>
      </c>
      <c r="AF302" s="13" t="n">
        <f aca="false">AF199</f>
        <v>1490296.01247225</v>
      </c>
      <c r="AG302" s="13" t="n">
        <f aca="false">AG199</f>
        <v>1532047.41551589</v>
      </c>
      <c r="AH302" s="13" t="n">
        <f aca="false">AH199</f>
        <v>1617018.19019074</v>
      </c>
      <c r="AI302" s="13" t="n">
        <f aca="false">AI199</f>
        <v>1469063.77282632</v>
      </c>
      <c r="AJ302" s="13" t="n">
        <f aca="false">AJ199</f>
        <v>1370405.0486371</v>
      </c>
      <c r="AK302" s="13" t="n">
        <f aca="false">AK199</f>
        <v>1333705.41418943</v>
      </c>
      <c r="AL302" s="13" t="n">
        <f aca="false">AL199</f>
        <v>1438069.37418943</v>
      </c>
      <c r="AM302" s="13" t="n">
        <f aca="false">AM199</f>
        <v>1558104.31418942</v>
      </c>
      <c r="AN302" s="13" t="n">
        <f aca="false">AN199</f>
        <v>1627325.31629418</v>
      </c>
      <c r="AO302" s="13" t="n">
        <f aca="false">AO199</f>
        <v>1589671.25438468</v>
      </c>
      <c r="AP302" s="13" t="n">
        <f aca="false">AP199</f>
        <v>1214025.10200143</v>
      </c>
      <c r="AQ302" s="13" t="n">
        <f aca="false">AQ199</f>
        <v>1623308.49978468</v>
      </c>
      <c r="AR302" s="13" t="n">
        <f aca="false">AR199</f>
        <v>1623308.49978468</v>
      </c>
      <c r="AS302" s="13" t="n">
        <f aca="false">AS199</f>
        <v>1623308.49978468</v>
      </c>
      <c r="AT302" s="13" t="n">
        <f aca="false">AT199</f>
        <v>1731660.39978468</v>
      </c>
      <c r="AU302" s="13" t="n">
        <f aca="false">AU199</f>
        <v>1773955.74802752</v>
      </c>
      <c r="AV302" s="13" t="n">
        <f aca="false">AV199</f>
        <v>1866824.93027926</v>
      </c>
      <c r="AW302" s="13" t="n">
        <f aca="false">AW199</f>
        <v>1421765.14086855</v>
      </c>
      <c r="AX302" s="13" t="n">
        <f aca="false">AX199</f>
        <v>1421765.14086855</v>
      </c>
      <c r="AY302" s="13" t="n">
        <f aca="false">AY199</f>
        <v>1530117.04086855</v>
      </c>
      <c r="AZ302" s="13" t="n">
        <f aca="false">AZ199</f>
        <v>1512058.39086855</v>
      </c>
      <c r="BA302" s="13" t="n">
        <f aca="false">BA199</f>
        <v>1493999.74086855</v>
      </c>
      <c r="BB302" s="13" t="n">
        <f aca="false">BB199</f>
        <v>1228174.61771584</v>
      </c>
      <c r="BC302" s="13" t="n">
        <f aca="false">BC199</f>
        <v>1493999.74086855</v>
      </c>
      <c r="BD302" s="13" t="n">
        <f aca="false">BD199</f>
        <v>1512058.39086855</v>
      </c>
      <c r="BE302" s="13" t="n">
        <f aca="false">BE199</f>
        <v>1530117.04086855</v>
      </c>
      <c r="BF302" s="13" t="n">
        <f aca="false">BF199</f>
        <v>1493999.74086855</v>
      </c>
      <c r="BG302" s="13" t="n">
        <f aca="false">BG199</f>
        <v>1512058.39086855</v>
      </c>
      <c r="BH302" s="13" t="n">
        <f aca="false">BH199</f>
        <v>1513228.19277144</v>
      </c>
      <c r="BI302" s="13" t="n">
        <f aca="false">BI199</f>
        <v>1246046.85</v>
      </c>
      <c r="BJ302" s="13" t="n">
        <f aca="false">BJ199</f>
        <v>1065460.35</v>
      </c>
      <c r="BK302" s="13" t="n">
        <f aca="false">BK199</f>
        <v>1065460.35</v>
      </c>
      <c r="BL302" s="13" t="n">
        <f aca="false">BL199</f>
        <v>1065460.35</v>
      </c>
      <c r="BM302" s="13" t="n">
        <f aca="false">BM199</f>
        <v>1173812.25</v>
      </c>
      <c r="BN302" s="13" t="n">
        <f aca="false">BN199</f>
        <v>1047401.7</v>
      </c>
      <c r="BO302" s="13" t="n">
        <f aca="false">BO199</f>
        <v>866815.199999999</v>
      </c>
      <c r="BP302" s="13" t="n">
        <f aca="false">BP199</f>
        <v>866815.2</v>
      </c>
      <c r="BQ302" s="13" t="n">
        <f aca="false">BQ199</f>
        <v>866815.2</v>
      </c>
      <c r="BR302" s="13" t="n">
        <f aca="false">BR199</f>
        <v>957108.45</v>
      </c>
      <c r="BS302" s="13" t="n">
        <f aca="false">BS199</f>
        <v>884873.85</v>
      </c>
      <c r="BT302" s="13" t="n">
        <f aca="false">BT199</f>
        <v>758463.3</v>
      </c>
      <c r="BU302" s="13" t="n">
        <f aca="false">BU199</f>
        <v>668170.05</v>
      </c>
      <c r="BV302" s="13" t="n">
        <f aca="false">BV199</f>
        <v>595935.45</v>
      </c>
      <c r="BW302" s="13" t="n">
        <f aca="false">BW199</f>
        <v>469524.9</v>
      </c>
      <c r="BX302" s="13" t="n">
        <f aca="false">BX199</f>
        <v>379231.65</v>
      </c>
      <c r="BY302" s="13" t="n">
        <f aca="false">BY199</f>
        <v>306997.05</v>
      </c>
      <c r="BZ302" s="13" t="n">
        <f aca="false">BZ199</f>
        <v>180586.5</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291775.351939741</v>
      </c>
      <c r="N304" s="30" t="n">
        <f aca="false">N302+N303+N295</f>
        <v>794513.320696627</v>
      </c>
      <c r="O304" s="30" t="n">
        <f aca="false">O302+O303+O295</f>
        <v>826932.23191442</v>
      </c>
      <c r="P304" s="30" t="n">
        <f aca="false">P302+P303+P295</f>
        <v>846322.23494742</v>
      </c>
      <c r="Q304" s="30" t="n">
        <f aca="false">Q302+Q303+Q295</f>
        <v>606653.277073135</v>
      </c>
      <c r="R304" s="30" t="n">
        <f aca="false">R302+R303+R295</f>
        <v>790784.415237355</v>
      </c>
      <c r="S304" s="30" t="n">
        <f aca="false">S302+S303+S295</f>
        <v>373655.014430044</v>
      </c>
      <c r="T304" s="30" t="n">
        <f aca="false">T302+T303+T295</f>
        <v>1235164.42509507</v>
      </c>
      <c r="U304" s="30" t="n">
        <f aca="false">U302+U303+U295</f>
        <v>1131462.36509507</v>
      </c>
      <c r="V304" s="30" t="n">
        <f aca="false">V302+V303+V295</f>
        <v>1050934.74381312</v>
      </c>
      <c r="W304" s="30" t="n">
        <f aca="false">W302+W303+W295</f>
        <v>963384.743637747</v>
      </c>
      <c r="X304" s="30" t="n">
        <f aca="false">X302+X303+X295</f>
        <v>1476204.38435873</v>
      </c>
      <c r="Y304" s="30" t="n">
        <f aca="false">Y302+Y303+Y295</f>
        <v>1350052.46435873</v>
      </c>
      <c r="Z304" s="30" t="n">
        <f aca="false">Z302+Z303+Z295</f>
        <v>1392604.46435873</v>
      </c>
      <c r="AA304" s="30" t="n">
        <f aca="false">AA302+AA303+AA295</f>
        <v>1302437.52435873</v>
      </c>
      <c r="AB304" s="30" t="n">
        <f aca="false">AB302+AB303+AB295</f>
        <v>1330030.15435873</v>
      </c>
      <c r="AC304" s="30" t="n">
        <f aca="false">AC302+AC303+AC295</f>
        <v>1176418.31435873</v>
      </c>
      <c r="AD304" s="30" t="n">
        <f aca="false">AD302+AD303+AD295</f>
        <v>1198984.35435873</v>
      </c>
      <c r="AE304" s="30" t="n">
        <f aca="false">AE302+AE303+AE295</f>
        <v>672229.33227161</v>
      </c>
      <c r="AF304" s="30" t="n">
        <f aca="false">AF302+AF303+AF295</f>
        <v>1506111.80194593</v>
      </c>
      <c r="AG304" s="30" t="n">
        <f aca="false">AG302+AG303+AG295</f>
        <v>1544705.31025273</v>
      </c>
      <c r="AH304" s="30" t="n">
        <f aca="false">AH302+AH303+AH295</f>
        <v>1626518.19019074</v>
      </c>
      <c r="AI304" s="30" t="n">
        <f aca="false">AI302+AI303+AI295</f>
        <v>1469063.77282632</v>
      </c>
      <c r="AJ304" s="30" t="n">
        <f aca="false">AJ302+AJ303+AJ295</f>
        <v>1370405.0486371</v>
      </c>
      <c r="AK304" s="30" t="n">
        <f aca="false">AK302+AK303+AK295</f>
        <v>1333705.41418943</v>
      </c>
      <c r="AL304" s="30" t="n">
        <f aca="false">AL302+AL303+AL295</f>
        <v>1438069.37418943</v>
      </c>
      <c r="AM304" s="30" t="n">
        <f aca="false">AM302+AM303+AM295</f>
        <v>1558104.31418942</v>
      </c>
      <c r="AN304" s="30" t="n">
        <f aca="false">AN302+AN303+AN295</f>
        <v>1627325.31629418</v>
      </c>
      <c r="AO304" s="30" t="n">
        <f aca="false">AO302+AO303+AO295</f>
        <v>1589671.25438468</v>
      </c>
      <c r="AP304" s="30" t="n">
        <f aca="false">AP302+AP303+AP295</f>
        <v>1214025.10200143</v>
      </c>
      <c r="AQ304" s="30" t="n">
        <f aca="false">AQ302+AQ303+AQ295</f>
        <v>1623308.49978468</v>
      </c>
      <c r="AR304" s="30" t="n">
        <f aca="false">AR302+AR303+AR295</f>
        <v>1623308.49978468</v>
      </c>
      <c r="AS304" s="30" t="n">
        <f aca="false">AS302+AS303+AS295</f>
        <v>1623308.49978468</v>
      </c>
      <c r="AT304" s="30" t="n">
        <f aca="false">AT302+AT303+AT295</f>
        <v>1813343.39978468</v>
      </c>
      <c r="AU304" s="30" t="n">
        <f aca="false">AU302+AU303+AU295</f>
        <v>1773955.74802752</v>
      </c>
      <c r="AV304" s="30" t="n">
        <f aca="false">AV302+AV303+AV295</f>
        <v>1866824.93027926</v>
      </c>
      <c r="AW304" s="30" t="n">
        <f aca="false">AW302+AW303+AW295</f>
        <v>1503447.14086855</v>
      </c>
      <c r="AX304" s="30" t="n">
        <f aca="false">AX302+AX303+AX295</f>
        <v>1421765.14086855</v>
      </c>
      <c r="AY304" s="30" t="n">
        <f aca="false">AY302+AY303+AY295</f>
        <v>1530117.04086855</v>
      </c>
      <c r="AZ304" s="30" t="n">
        <f aca="false">AZ302+AZ303+AZ295</f>
        <v>1593740.39086855</v>
      </c>
      <c r="BA304" s="30" t="n">
        <f aca="false">BA302+BA303+BA295</f>
        <v>1493999.74086855</v>
      </c>
      <c r="BB304" s="30" t="n">
        <f aca="false">BB302+BB303+BB295</f>
        <v>1228174.61771584</v>
      </c>
      <c r="BC304" s="30" t="n">
        <f aca="false">BC302+BC303+BC295</f>
        <v>2427520.74086855</v>
      </c>
      <c r="BD304" s="30" t="n">
        <f aca="false">BD302+BD303+BD295</f>
        <v>1512058.39086855</v>
      </c>
      <c r="BE304" s="30" t="n">
        <f aca="false">BE302+BE303+BE295</f>
        <v>1530117.04086855</v>
      </c>
      <c r="BF304" s="30" t="n">
        <f aca="false">BF302+BF303+BF295</f>
        <v>1624877.74086855</v>
      </c>
      <c r="BG304" s="30" t="n">
        <f aca="false">BG302+BG303+BG295</f>
        <v>1512058.39086855</v>
      </c>
      <c r="BH304" s="30" t="n">
        <f aca="false">BH302+BH303+BH295</f>
        <v>1513228.19277144</v>
      </c>
      <c r="BI304" s="30" t="n">
        <f aca="false">BI302+BI303+BI295</f>
        <v>1376922.85</v>
      </c>
      <c r="BJ304" s="30" t="n">
        <f aca="false">BJ302+BJ303+BJ295</f>
        <v>1065460.35</v>
      </c>
      <c r="BK304" s="30" t="n">
        <f aca="false">BK302+BK303+BK295</f>
        <v>1065460.35</v>
      </c>
      <c r="BL304" s="30" t="n">
        <f aca="false">BL302+BL303+BL295</f>
        <v>1196336.35</v>
      </c>
      <c r="BM304" s="30" t="n">
        <f aca="false">BM302+BM303+BM295</f>
        <v>1173812.25</v>
      </c>
      <c r="BN304" s="30" t="n">
        <f aca="false">BN302+BN303+BN295</f>
        <v>1047401.7</v>
      </c>
      <c r="BO304" s="30" t="n">
        <f aca="false">BO302+BO303+BO295</f>
        <v>997691.199999999</v>
      </c>
      <c r="BP304" s="30" t="n">
        <f aca="false">BP302+BP303+BP295</f>
        <v>866815.2</v>
      </c>
      <c r="BQ304" s="30" t="n">
        <f aca="false">BQ302+BQ303+BQ295</f>
        <v>866815.2</v>
      </c>
      <c r="BR304" s="30" t="n">
        <f aca="false">BR302+BR303+BR295</f>
        <v>1099514.45</v>
      </c>
      <c r="BS304" s="30" t="n">
        <f aca="false">BS302+BS303+BS295</f>
        <v>884873.85</v>
      </c>
      <c r="BT304" s="30" t="n">
        <f aca="false">BT302+BT303+BT295</f>
        <v>758463.3</v>
      </c>
      <c r="BU304" s="30" t="n">
        <f aca="false">BU302+BU303+BU295</f>
        <v>810572.05</v>
      </c>
      <c r="BV304" s="30" t="n">
        <f aca="false">BV302+BV303+BV295</f>
        <v>595935.45</v>
      </c>
      <c r="BW304" s="30" t="n">
        <f aca="false">BW302+BW303+BW295</f>
        <v>469524.9</v>
      </c>
      <c r="BX304" s="30" t="n">
        <f aca="false">BX302+BX303+BX295</f>
        <v>521633.65</v>
      </c>
      <c r="BY304" s="30" t="n">
        <f aca="false">BY302+BY303+BY295</f>
        <v>306997.05</v>
      </c>
      <c r="BZ304" s="30" t="n">
        <f aca="false">BZ302+BZ303+BZ295</f>
        <v>180586.5</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-513060.30726</v>
      </c>
      <c r="R305" s="13" t="n">
        <f aca="false">R236</f>
        <v>-562966.13226</v>
      </c>
      <c r="S305" s="13" t="n">
        <f aca="false">S236</f>
        <v>-578840.40726</v>
      </c>
      <c r="T305" s="13" t="n">
        <f aca="false">T236</f>
        <v>-559715.40726</v>
      </c>
      <c r="U305" s="13" t="n">
        <f aca="false">U236</f>
        <v>-559715.40726</v>
      </c>
      <c r="V305" s="13" t="n">
        <f aca="false">V236</f>
        <v>-559715.40726</v>
      </c>
      <c r="W305" s="13" t="n">
        <f aca="false">W236</f>
        <v>-559715.40726</v>
      </c>
      <c r="X305" s="13" t="n">
        <f aca="false">X236</f>
        <v>-559715.40726</v>
      </c>
      <c r="Y305" s="13" t="n">
        <f aca="false">Y236</f>
        <v>-622281.23371</v>
      </c>
      <c r="Z305" s="13" t="n">
        <f aca="false">Z236</f>
        <v>-559715.40726</v>
      </c>
      <c r="AA305" s="13" t="n">
        <f aca="false">AA236</f>
        <v>-559715.40726</v>
      </c>
      <c r="AB305" s="13" t="n">
        <f aca="false">AB236</f>
        <v>-559715.40726</v>
      </c>
      <c r="AC305" s="13" t="n">
        <f aca="false">AC236</f>
        <v>-615609.7154052</v>
      </c>
      <c r="AD305" s="13" t="n">
        <f aca="false">AD236</f>
        <v>-570609.7154052</v>
      </c>
      <c r="AE305" s="13" t="n">
        <f aca="false">AE236</f>
        <v>-570609.7154052</v>
      </c>
      <c r="AF305" s="13" t="n">
        <f aca="false">AF236</f>
        <v>-570609.7154052</v>
      </c>
      <c r="AG305" s="13" t="n">
        <f aca="false">AG236</f>
        <v>-592046.8529052</v>
      </c>
      <c r="AH305" s="13" t="n">
        <f aca="false">AH236</f>
        <v>-627671.8529052</v>
      </c>
      <c r="AI305" s="13" t="n">
        <f aca="false">AI236</f>
        <v>-627671.8529052</v>
      </c>
      <c r="AJ305" s="13" t="n">
        <f aca="false">AJ236</f>
        <v>-620171.8529052</v>
      </c>
      <c r="AK305" s="13" t="n">
        <f aca="false">AK236</f>
        <v>-620171.8529052</v>
      </c>
      <c r="AL305" s="13" t="n">
        <f aca="false">AL236</f>
        <v>-620171.8529052</v>
      </c>
      <c r="AM305" s="13" t="n">
        <f aca="false">AM236</f>
        <v>-620171.8529052</v>
      </c>
      <c r="AN305" s="13" t="n">
        <f aca="false">AN236</f>
        <v>-670546.1279052</v>
      </c>
      <c r="AO305" s="13" t="n">
        <f aca="false">AO236</f>
        <v>-700355.946173304</v>
      </c>
      <c r="AP305" s="13" t="n">
        <f aca="false">AP236</f>
        <v>-681230.946173304</v>
      </c>
      <c r="AQ305" s="13" t="n">
        <f aca="false">AQ236</f>
        <v>-688730.946173304</v>
      </c>
      <c r="AR305" s="13" t="n">
        <f aca="false">AR236</f>
        <v>-681230.946173304</v>
      </c>
      <c r="AS305" s="13" t="n">
        <f aca="false">AS236</f>
        <v>-643730.946173304</v>
      </c>
      <c r="AT305" s="13" t="n">
        <f aca="false">AT236</f>
        <v>-724451.875006119</v>
      </c>
      <c r="AU305" s="13" t="n">
        <f aca="false">AU236</f>
        <v>-768528.025158641</v>
      </c>
      <c r="AV305" s="13" t="n">
        <f aca="false">AV236</f>
        <v>-688730.946173304</v>
      </c>
      <c r="AW305" s="13" t="n">
        <f aca="false">AW236</f>
        <v>-681230.946173304</v>
      </c>
      <c r="AX305" s="13" t="n">
        <f aca="false">AX236</f>
        <v>-640935.430713304</v>
      </c>
      <c r="AY305" s="13" t="n">
        <f aca="false">AY236</f>
        <v>-713939.589291719</v>
      </c>
      <c r="AZ305" s="13" t="n">
        <f aca="false">AZ236</f>
        <v>-714815.151761087</v>
      </c>
      <c r="BA305" s="13" t="n">
        <f aca="false">BA236</f>
        <v>-736718.904796177</v>
      </c>
      <c r="BB305" s="13" t="n">
        <f aca="false">BB236</f>
        <v>-734900.165798041</v>
      </c>
      <c r="BC305" s="13" t="n">
        <f aca="false">BC236</f>
        <v>-691979.421288093</v>
      </c>
      <c r="BD305" s="13" t="n">
        <f aca="false">BD236</f>
        <v>-683464.377868363</v>
      </c>
      <c r="BE305" s="13" t="n">
        <f aca="false">BE236</f>
        <v>-720240.600993634</v>
      </c>
      <c r="BF305" s="13" t="n">
        <f aca="false">BF236</f>
        <v>-684408.71652089</v>
      </c>
      <c r="BG305" s="13" t="n">
        <f aca="false">BG236</f>
        <v>-684680.227499846</v>
      </c>
      <c r="BH305" s="13" t="n">
        <f aca="false">BH236</f>
        <v>-721335.537180717</v>
      </c>
      <c r="BI305" s="13" t="n">
        <f aca="false">BI236</f>
        <v>-684920.193777241</v>
      </c>
      <c r="BJ305" s="13" t="n">
        <f aca="false">BJ236</f>
        <v>-587534.59085137</v>
      </c>
      <c r="BK305" s="13" t="n">
        <f aca="false">BK236</f>
        <v>-584483.16508217</v>
      </c>
      <c r="BL305" s="13" t="n">
        <f aca="false">BL236</f>
        <v>-574483.16508217</v>
      </c>
      <c r="BM305" s="13" t="n">
        <f aca="false">BM236</f>
        <v>-666984.213157565</v>
      </c>
      <c r="BN305" s="13" t="n">
        <f aca="false">BN236</f>
        <v>-622143.093521031</v>
      </c>
      <c r="BO305" s="13" t="n">
        <f aca="false">BO236</f>
        <v>-538502.455973665</v>
      </c>
      <c r="BP305" s="13" t="n">
        <f aca="false">BP236</f>
        <v>-490855.921580538</v>
      </c>
      <c r="BQ305" s="13" t="n">
        <f aca="false">BQ236</f>
        <v>-465620.390372878</v>
      </c>
      <c r="BR305" s="13" t="n">
        <f aca="false">BR236</f>
        <v>-506415.663639138</v>
      </c>
      <c r="BS305" s="13" t="n">
        <f aca="false">BS236</f>
        <v>-533844.390407429</v>
      </c>
      <c r="BT305" s="13" t="n">
        <f aca="false">BT236</f>
        <v>-499294.274254244</v>
      </c>
      <c r="BU305" s="13" t="n">
        <f aca="false">BU236</f>
        <v>-477047.676032411</v>
      </c>
      <c r="BV305" s="13" t="n">
        <f aca="false">BV236</f>
        <v>-479806.239370518</v>
      </c>
      <c r="BW305" s="13" t="n">
        <f aca="false">BW236</f>
        <v>-445134.344136411</v>
      </c>
      <c r="BX305" s="13" t="n">
        <f aca="false">BX236</f>
        <v>-435662.658607956</v>
      </c>
      <c r="BY305" s="13" t="n">
        <f aca="false">BY236</f>
        <v>-455480.058361919</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-365730.58373789</v>
      </c>
      <c r="CB306" s="13" t="n">
        <f aca="false">CB292</f>
        <v>-217934.58373789</v>
      </c>
      <c r="CC306" s="13" t="n">
        <f aca="false">CC292</f>
        <v>-217934.58373789</v>
      </c>
      <c r="CD306" s="13" t="n">
        <f aca="false">CD292</f>
        <v>-372452.58373789</v>
      </c>
      <c r="CE306" s="13" t="n">
        <f aca="false">CE292</f>
        <v>-217934.58373789</v>
      </c>
      <c r="CF306" s="13" t="n">
        <f aca="false">CF292</f>
        <v>-217934.58373789</v>
      </c>
      <c r="CG306" s="13" t="n">
        <f aca="false">CG292</f>
        <v>-372451.58373789</v>
      </c>
      <c r="CH306" s="13" t="n">
        <f aca="false">CH292</f>
        <v>-217934.58373789</v>
      </c>
      <c r="CI306" s="13" t="n">
        <f aca="false">CI292</f>
        <v>-217934.58373789</v>
      </c>
      <c r="CJ306" s="13" t="n">
        <f aca="false">CJ292</f>
        <v>-365843.557131411</v>
      </c>
      <c r="CK306" s="13" t="n">
        <f aca="false">CK292</f>
        <v>-295105.515412648</v>
      </c>
      <c r="CL306" s="13" t="n">
        <f aca="false">CL292</f>
        <v>-295105.515412648</v>
      </c>
      <c r="CM306" s="13" t="n">
        <f aca="false">CM292</f>
        <v>-295105.515412648</v>
      </c>
      <c r="CN306" s="13" t="n">
        <f aca="false">CN292</f>
        <v>-295105.515412648</v>
      </c>
      <c r="CO306" s="13" t="n">
        <f aca="false">CO292</f>
        <v>-295105.515412648</v>
      </c>
      <c r="CP306" s="13" t="n">
        <f aca="false">CP292</f>
        <v>-295105.515412648</v>
      </c>
      <c r="CQ306" s="13" t="n">
        <f aca="false">CQ292</f>
        <v>-295105.515412648</v>
      </c>
      <c r="CR306" s="13" t="n">
        <f aca="false">CR292</f>
        <v>-295105.515412648</v>
      </c>
      <c r="CS306" s="13" t="n">
        <f aca="false">CS292</f>
        <v>-295105.515412648</v>
      </c>
      <c r="CT306" s="13" t="n">
        <f aca="false">CT292</f>
        <v>-289194.570414536</v>
      </c>
      <c r="CU306" s="13" t="n">
        <f aca="false">CU292</f>
        <v>-289194.570414536</v>
      </c>
      <c r="CV306" s="13" t="n">
        <f aca="false">CV292</f>
        <v>-289194.570414536</v>
      </c>
      <c r="CW306" s="13" t="n">
        <f aca="false">CW292</f>
        <v>-237464.450759234</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-712065.95966</v>
      </c>
      <c r="R307" s="30" t="n">
        <f aca="false">R305+R306+R296</f>
        <v>-761971.78466</v>
      </c>
      <c r="S307" s="30" t="n">
        <f aca="false">S305+S306+S296</f>
        <v>-777846.05966</v>
      </c>
      <c r="T307" s="30" t="n">
        <f aca="false">T305+T306+T296</f>
        <v>-758721.05966</v>
      </c>
      <c r="U307" s="30" t="n">
        <f aca="false">U305+U306+U296</f>
        <v>-758721.05966</v>
      </c>
      <c r="V307" s="30" t="n">
        <f aca="false">V305+V306+V296</f>
        <v>-758721.05966</v>
      </c>
      <c r="W307" s="30" t="n">
        <f aca="false">W305+W306+W296</f>
        <v>-758721.05966</v>
      </c>
      <c r="X307" s="30" t="n">
        <f aca="false">X305+X306+X296</f>
        <v>-758721.05966</v>
      </c>
      <c r="Y307" s="30" t="n">
        <f aca="false">Y305+Y306+Y296</f>
        <v>-821286.88611</v>
      </c>
      <c r="Z307" s="30" t="n">
        <f aca="false">Z305+Z306+Z296</f>
        <v>-758721.05966</v>
      </c>
      <c r="AA307" s="30" t="n">
        <f aca="false">AA305+AA306+AA296</f>
        <v>-758721.05966</v>
      </c>
      <c r="AB307" s="30" t="n">
        <f aca="false">AB305+AB306+AB296</f>
        <v>-758721.05966</v>
      </c>
      <c r="AC307" s="30" t="n">
        <f aca="false">AC305+AC306+AC296</f>
        <v>-818252.7208532</v>
      </c>
      <c r="AD307" s="30" t="n">
        <f aca="false">AD305+AD306+AD296</f>
        <v>-773252.7208532</v>
      </c>
      <c r="AE307" s="30" t="n">
        <f aca="false">AE305+AE306+AE296</f>
        <v>-773252.7208532</v>
      </c>
      <c r="AF307" s="30" t="n">
        <f aca="false">AF305+AF306+AF296</f>
        <v>-773252.7208532</v>
      </c>
      <c r="AG307" s="30" t="n">
        <f aca="false">AG305+AG306+AG296</f>
        <v>-794689.8583532</v>
      </c>
      <c r="AH307" s="30" t="n">
        <f aca="false">AH305+AH306+AH296</f>
        <v>-830314.8583532</v>
      </c>
      <c r="AI307" s="30" t="n">
        <f aca="false">AI305+AI306+AI296</f>
        <v>-830314.8583532</v>
      </c>
      <c r="AJ307" s="30" t="n">
        <f aca="false">AJ305+AJ306+AJ296</f>
        <v>-822814.8583532</v>
      </c>
      <c r="AK307" s="30" t="n">
        <f aca="false">AK305+AK306+AK296</f>
        <v>-822814.8583532</v>
      </c>
      <c r="AL307" s="30" t="n">
        <f aca="false">AL305+AL306+AL296</f>
        <v>-822814.8583532</v>
      </c>
      <c r="AM307" s="30" t="n">
        <f aca="false">AM305+AM306+AM296</f>
        <v>-822814.8583532</v>
      </c>
      <c r="AN307" s="30" t="n">
        <f aca="false">AN305+AN306+AN296</f>
        <v>-873189.1333532</v>
      </c>
      <c r="AO307" s="30" t="n">
        <f aca="false">AO305+AO306+AO296</f>
        <v>-906709.051730264</v>
      </c>
      <c r="AP307" s="30" t="n">
        <f aca="false">AP305+AP306+AP296</f>
        <v>-887584.051730264</v>
      </c>
      <c r="AQ307" s="30" t="n">
        <f aca="false">AQ305+AQ306+AQ296</f>
        <v>-895084.051730264</v>
      </c>
      <c r="AR307" s="30" t="n">
        <f aca="false">AR305+AR306+AR296</f>
        <v>-887584.051730264</v>
      </c>
      <c r="AS307" s="30" t="n">
        <f aca="false">AS305+AS306+AS296</f>
        <v>-850084.051730264</v>
      </c>
      <c r="AT307" s="30" t="n">
        <f aca="false">AT305+AT306+AT296</f>
        <v>-1012487.98056308</v>
      </c>
      <c r="AU307" s="30" t="n">
        <f aca="false">AU305+AU306+AU296</f>
        <v>-974881.130715601</v>
      </c>
      <c r="AV307" s="30" t="n">
        <f aca="false">AV305+AV306+AV296</f>
        <v>-895084.051730264</v>
      </c>
      <c r="AW307" s="30" t="n">
        <f aca="false">AW305+AW306+AW296</f>
        <v>-969266.051730264</v>
      </c>
      <c r="AX307" s="30" t="n">
        <f aca="false">AX305+AX306+AX296</f>
        <v>-847288.536270264</v>
      </c>
      <c r="AY307" s="30" t="n">
        <f aca="false">AY305+AY306+AY296</f>
        <v>-920292.694848679</v>
      </c>
      <c r="AZ307" s="30" t="n">
        <f aca="false">AZ305+AZ306+AZ296</f>
        <v>-1002850.25731805</v>
      </c>
      <c r="BA307" s="30" t="n">
        <f aca="false">BA305+BA306+BA296</f>
        <v>-946856.312464276</v>
      </c>
      <c r="BB307" s="30" t="n">
        <f aca="false">BB305+BB306+BB296</f>
        <v>-945037.57346614</v>
      </c>
      <c r="BC307" s="30" t="n">
        <f aca="false">BC305+BC306+BC296</f>
        <v>-1835637.82895619</v>
      </c>
      <c r="BD307" s="30" t="n">
        <f aca="false">BD305+BD306+BD296</f>
        <v>-893601.785536462</v>
      </c>
      <c r="BE307" s="30" t="n">
        <f aca="false">BE305+BE306+BE296</f>
        <v>-930378.008661733</v>
      </c>
      <c r="BF307" s="30" t="n">
        <f aca="false">BF305+BF306+BF296</f>
        <v>-1025424.12418899</v>
      </c>
      <c r="BG307" s="30" t="n">
        <f aca="false">BG305+BG306+BG296</f>
        <v>-894817.635167945</v>
      </c>
      <c r="BH307" s="30" t="n">
        <f aca="false">BH305+BH306+BH296</f>
        <v>-931472.944848816</v>
      </c>
      <c r="BI307" s="30" t="n">
        <f aca="false">BI305+BI306+BI296</f>
        <v>-1025933.60144534</v>
      </c>
      <c r="BJ307" s="30" t="n">
        <f aca="false">BJ305+BJ306+BJ296</f>
        <v>-797671.998519469</v>
      </c>
      <c r="BK307" s="30" t="n">
        <f aca="false">BK305+BK306+BK296</f>
        <v>-794620.572750269</v>
      </c>
      <c r="BL307" s="30" t="n">
        <f aca="false">BL305+BL306+BL296</f>
        <v>-915496.572750269</v>
      </c>
      <c r="BM307" s="30" t="n">
        <f aca="false">BM305+BM306+BM296</f>
        <v>-880981.608979026</v>
      </c>
      <c r="BN307" s="30" t="n">
        <f aca="false">BN305+BN306+BN296</f>
        <v>-836140.489342492</v>
      </c>
      <c r="BO307" s="30" t="n">
        <f aca="false">BO305+BO306+BO296</f>
        <v>-883375.851795126</v>
      </c>
      <c r="BP307" s="30" t="n">
        <f aca="false">BP305+BP306+BP296</f>
        <v>-704853.317402</v>
      </c>
      <c r="BQ307" s="30" t="n">
        <f aca="false">BQ305+BQ306+BQ296</f>
        <v>-679617.786194339</v>
      </c>
      <c r="BR307" s="30" t="n">
        <f aca="false">BR305+BR306+BR296</f>
        <v>-809568.709460599</v>
      </c>
      <c r="BS307" s="30" t="n">
        <f aca="false">BS305+BS306+BS296</f>
        <v>-747841.786228891</v>
      </c>
      <c r="BT307" s="30" t="n">
        <f aca="false">BT305+BT306+BT296</f>
        <v>-713291.670075705</v>
      </c>
      <c r="BU307" s="30" t="n">
        <f aca="false">BU305+BU306+BU296</f>
        <v>-765685.071853872</v>
      </c>
      <c r="BV307" s="30" t="n">
        <f aca="false">BV305+BV306+BV296</f>
        <v>-693803.635191979</v>
      </c>
      <c r="BW307" s="30" t="n">
        <f aca="false">BW305+BW306+BW296</f>
        <v>-659131.739957872</v>
      </c>
      <c r="BX307" s="30" t="n">
        <f aca="false">BX305+BX306+BX296</f>
        <v>-724300.054429417</v>
      </c>
      <c r="BY307" s="30" t="n">
        <f aca="false">BY305+BY306+BY296</f>
        <v>-673414.642099809</v>
      </c>
      <c r="BZ307" s="30" t="n">
        <f aca="false">BZ305+BZ306+BZ296</f>
        <v>-635886.435766128</v>
      </c>
      <c r="CA307" s="30" t="n">
        <f aca="false">CA305+CA306+CA296</f>
        <v>-783682.435766128</v>
      </c>
      <c r="CB307" s="30" t="n">
        <f aca="false">CB305+CB306+CB296</f>
        <v>-635886.435766128</v>
      </c>
      <c r="CC307" s="30" t="n">
        <f aca="false">CC305+CC306+CC296</f>
        <v>-635886.435766128</v>
      </c>
      <c r="CD307" s="30" t="n">
        <f aca="false">CD305+CD306+CD296</f>
        <v>-790404.435766128</v>
      </c>
      <c r="CE307" s="30" t="n">
        <f aca="false">CE305+CE306+CE296</f>
        <v>-635886.435766128</v>
      </c>
      <c r="CF307" s="30" t="n">
        <f aca="false">CF305+CF306+CF296</f>
        <v>-635886.435766128</v>
      </c>
      <c r="CG307" s="30" t="n">
        <f aca="false">CG305+CG306+CG296</f>
        <v>-790403.435766128</v>
      </c>
      <c r="CH307" s="30" t="n">
        <f aca="false">CH305+CH306+CH296</f>
        <v>-635886.435766128</v>
      </c>
      <c r="CI307" s="30" t="n">
        <f aca="false">CI305+CI306+CI296</f>
        <v>-635886.435766128</v>
      </c>
      <c r="CJ307" s="30" t="n">
        <f aca="false">CJ305+CJ306+CJ296</f>
        <v>-783795.409159649</v>
      </c>
      <c r="CK307" s="30" t="n">
        <f aca="false">CK305+CK306+CK296</f>
        <v>-721116.404481451</v>
      </c>
      <c r="CL307" s="30" t="n">
        <f aca="false">CL305+CL306+CL296</f>
        <v>-721116.404481451</v>
      </c>
      <c r="CM307" s="30" t="n">
        <f aca="false">CM305+CM306+CM296</f>
        <v>-721116.404481451</v>
      </c>
      <c r="CN307" s="30" t="n">
        <f aca="false">CN305+CN306+CN296</f>
        <v>-721116.404481451</v>
      </c>
      <c r="CO307" s="30" t="n">
        <f aca="false">CO305+CO306+CO296</f>
        <v>-721116.404481451</v>
      </c>
      <c r="CP307" s="30" t="n">
        <f aca="false">CP305+CP306+CP296</f>
        <v>-721116.404481451</v>
      </c>
      <c r="CQ307" s="30" t="n">
        <f aca="false">CQ305+CQ306+CQ296</f>
        <v>-721116.404481451</v>
      </c>
      <c r="CR307" s="30" t="n">
        <f aca="false">CR305+CR306+CR296</f>
        <v>-721116.404481451</v>
      </c>
      <c r="CS307" s="30" t="n">
        <f aca="false">CS305+CS306+CS296</f>
        <v>-721116.404481451</v>
      </c>
      <c r="CT307" s="30" t="n">
        <f aca="false">CT305+CT306+CT296</f>
        <v>-674852.645441313</v>
      </c>
      <c r="CU307" s="30" t="n">
        <f aca="false">CU305+CU306+CU296</f>
        <v>-674852.645441313</v>
      </c>
      <c r="CV307" s="30" t="n">
        <f aca="false">CV305+CV306+CV296</f>
        <v>-674852.645441313</v>
      </c>
      <c r="CW307" s="30" t="n">
        <f aca="false">CW305+CW306+CW296</f>
        <v>-630535.687286546</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-33502.6967833325</v>
      </c>
      <c r="L308" s="37" t="n">
        <f aca="false">L304+L307</f>
        <v>-101597.136783333</v>
      </c>
      <c r="M308" s="37" t="n">
        <f aca="false">M304+M307</f>
        <v>-385199.327726926</v>
      </c>
      <c r="N308" s="37" t="n">
        <f aca="false">N304+N307</f>
        <v>166182.737696627</v>
      </c>
      <c r="O308" s="37" t="n">
        <f aca="false">O304+O307</f>
        <v>113927.89891442</v>
      </c>
      <c r="P308" s="37" t="n">
        <f aca="false">P304+P307</f>
        <v>174192.90194742</v>
      </c>
      <c r="Q308" s="37" t="n">
        <f aca="false">Q304+Q307</f>
        <v>-105412.682586865</v>
      </c>
      <c r="R308" s="37" t="n">
        <f aca="false">R304+R307</f>
        <v>28812.6305773549</v>
      </c>
      <c r="S308" s="37" t="n">
        <f aca="false">S304+S307</f>
        <v>-404191.045229956</v>
      </c>
      <c r="T308" s="37" t="n">
        <f aca="false">T304+T307</f>
        <v>476443.365435066</v>
      </c>
      <c r="U308" s="37" t="n">
        <f aca="false">U304+U307</f>
        <v>372741.305435069</v>
      </c>
      <c r="V308" s="37" t="n">
        <f aca="false">V304+V307</f>
        <v>292213.684153117</v>
      </c>
      <c r="W308" s="37" t="n">
        <f aca="false">W304+W307</f>
        <v>204663.683977747</v>
      </c>
      <c r="X308" s="37" t="n">
        <f aca="false">X304+X307</f>
        <v>717483.324698734</v>
      </c>
      <c r="Y308" s="37" t="n">
        <f aca="false">Y304+Y307</f>
        <v>528765.57824873</v>
      </c>
      <c r="Z308" s="37" t="n">
        <f aca="false">Z304+Z307</f>
        <v>633883.404698732</v>
      </c>
      <c r="AA308" s="37" t="n">
        <f aca="false">AA304+AA307</f>
        <v>543716.464698727</v>
      </c>
      <c r="AB308" s="37" t="n">
        <f aca="false">AB304+AB307</f>
        <v>571309.094698731</v>
      </c>
      <c r="AC308" s="37" t="n">
        <f aca="false">AC304+AC307</f>
        <v>358165.593505533</v>
      </c>
      <c r="AD308" s="37" t="n">
        <f aca="false">AD304+AD307</f>
        <v>425731.633505531</v>
      </c>
      <c r="AE308" s="37" t="n">
        <f aca="false">AE304+AE307</f>
        <v>-101023.38858159</v>
      </c>
      <c r="AF308" s="37" t="n">
        <f aca="false">AF304+AF307</f>
        <v>732859.081092732</v>
      </c>
      <c r="AG308" s="37" t="n">
        <f aca="false">AG304+AG307</f>
        <v>750015.451899534</v>
      </c>
      <c r="AH308" s="37" t="n">
        <f aca="false">AH304+AH307</f>
        <v>796203.331837542</v>
      </c>
      <c r="AI308" s="37" t="n">
        <f aca="false">AI304+AI307</f>
        <v>638748.914473116</v>
      </c>
      <c r="AJ308" s="37" t="n">
        <f aca="false">AJ304+AJ307</f>
        <v>547590.190283899</v>
      </c>
      <c r="AK308" s="37" t="n">
        <f aca="false">AK304+AK307</f>
        <v>510890.555836228</v>
      </c>
      <c r="AL308" s="37" t="n">
        <f aca="false">AL304+AL307</f>
        <v>615254.515836229</v>
      </c>
      <c r="AM308" s="37" t="n">
        <f aca="false">AM304+AM307</f>
        <v>735289.455836225</v>
      </c>
      <c r="AN308" s="37" t="n">
        <f aca="false">AN304+AN307</f>
        <v>754136.182940977</v>
      </c>
      <c r="AO308" s="37" t="n">
        <f aca="false">AO304+AO307</f>
        <v>682962.202654414</v>
      </c>
      <c r="AP308" s="37" t="n">
        <f aca="false">AP304+AP307</f>
        <v>326441.050271163</v>
      </c>
      <c r="AQ308" s="37" t="n">
        <f aca="false">AQ304+AQ307</f>
        <v>728224.448054414</v>
      </c>
      <c r="AR308" s="37" t="n">
        <f aca="false">AR304+AR307</f>
        <v>735724.448054414</v>
      </c>
      <c r="AS308" s="37" t="n">
        <f aca="false">AS304+AS307</f>
        <v>773224.448054414</v>
      </c>
      <c r="AT308" s="37" t="n">
        <f aca="false">AT304+AT307</f>
        <v>800855.419221598</v>
      </c>
      <c r="AU308" s="37" t="n">
        <f aca="false">AU304+AU307</f>
        <v>799074.617311915</v>
      </c>
      <c r="AV308" s="37" t="n">
        <f aca="false">AV304+AV307</f>
        <v>971740.878548998</v>
      </c>
      <c r="AW308" s="37" t="n">
        <f aca="false">AW304+AW307</f>
        <v>534181.089138282</v>
      </c>
      <c r="AX308" s="37" t="n">
        <f aca="false">AX304+AX307</f>
        <v>574476.604598282</v>
      </c>
      <c r="AY308" s="37" t="n">
        <f aca="false">AY304+AY307</f>
        <v>609824.346019868</v>
      </c>
      <c r="AZ308" s="37" t="n">
        <f aca="false">AZ304+AZ307</f>
        <v>590890.1335505</v>
      </c>
      <c r="BA308" s="37" t="n">
        <f aca="false">BA304+BA307</f>
        <v>547143.42840427</v>
      </c>
      <c r="BB308" s="37" t="n">
        <f aca="false">BB304+BB307</f>
        <v>283137.044249697</v>
      </c>
      <c r="BC308" s="37" t="n">
        <f aca="false">BC304+BC307</f>
        <v>591882.911912354</v>
      </c>
      <c r="BD308" s="37" t="n">
        <f aca="false">BD304+BD307</f>
        <v>618456.605332085</v>
      </c>
      <c r="BE308" s="37" t="n">
        <f aca="false">BE304+BE307</f>
        <v>599739.032206814</v>
      </c>
      <c r="BF308" s="37" t="n">
        <f aca="false">BF304+BF307</f>
        <v>599453.616679557</v>
      </c>
      <c r="BG308" s="37" t="n">
        <f aca="false">BG304+BG307</f>
        <v>617240.755700602</v>
      </c>
      <c r="BH308" s="37" t="n">
        <f aca="false">BH304+BH307</f>
        <v>581755.247922622</v>
      </c>
      <c r="BI308" s="37" t="n">
        <f aca="false">BI304+BI307</f>
        <v>350989.24855466</v>
      </c>
      <c r="BJ308" s="37" t="n">
        <f aca="false">BJ304+BJ307</f>
        <v>267788.35148053</v>
      </c>
      <c r="BK308" s="37" t="n">
        <f aca="false">BK304+BK307</f>
        <v>270839.77724973</v>
      </c>
      <c r="BL308" s="37" t="n">
        <f aca="false">BL304+BL307</f>
        <v>280839.77724973</v>
      </c>
      <c r="BM308" s="37" t="n">
        <f aca="false">BM304+BM307</f>
        <v>292830.641020974</v>
      </c>
      <c r="BN308" s="37" t="n">
        <f aca="false">BN304+BN307</f>
        <v>211261.210657507</v>
      </c>
      <c r="BO308" s="37" t="n">
        <f aca="false">BO304+BO307</f>
        <v>114315.348204873</v>
      </c>
      <c r="BP308" s="37" t="n">
        <f aca="false">BP304+BP307</f>
        <v>161961.882598001</v>
      </c>
      <c r="BQ308" s="37" t="n">
        <f aca="false">BQ304+BQ307</f>
        <v>187197.413805662</v>
      </c>
      <c r="BR308" s="37" t="n">
        <f aca="false">BR304+BR307</f>
        <v>289945.740539401</v>
      </c>
      <c r="BS308" s="37" t="n">
        <f aca="false">BS304+BS307</f>
        <v>137032.063771109</v>
      </c>
      <c r="BT308" s="37" t="n">
        <f aca="false">BT304+BT307</f>
        <v>45171.6299242949</v>
      </c>
      <c r="BU308" s="37" t="n">
        <f aca="false">BU304+BU307</f>
        <v>44886.9781461274</v>
      </c>
      <c r="BV308" s="37" t="n">
        <f aca="false">BV304+BV307</f>
        <v>-97868.1851919788</v>
      </c>
      <c r="BW308" s="37" t="n">
        <f aca="false">BW304+BW307</f>
        <v>-189606.839957872</v>
      </c>
      <c r="BX308" s="37" t="n">
        <f aca="false">BX304+BX307</f>
        <v>-202666.404429417</v>
      </c>
      <c r="BY308" s="37" t="n">
        <f aca="false">BY304+BY307</f>
        <v>-366417.592099809</v>
      </c>
      <c r="BZ308" s="37" t="n">
        <f aca="false">BZ304+BZ307</f>
        <v>-455299.935766128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-399519.687286546</v>
      </c>
      <c r="CX308" s="37" t="n">
        <f aca="false">CX304+CX307</f>
        <v>-382072.838350139</v>
      </c>
      <c r="CY308" s="37" t="n">
        <f aca="false">CY304+CY307</f>
        <v>-382072.838350139</v>
      </c>
      <c r="CZ308" s="37" t="n">
        <f aca="false">CZ304+CZ307</f>
        <v>-382072.838350139</v>
      </c>
      <c r="DA308" s="37" t="n">
        <f aca="false">DA304+DA307</f>
        <v>-382072.838350139</v>
      </c>
      <c r="DB308" s="37" t="n">
        <f aca="false">DB304+DB307</f>
        <v>-382072.838350139</v>
      </c>
      <c r="DC308" s="37" t="n">
        <f aca="false">DC304+DC307</f>
        <v>-382072.838350139</v>
      </c>
      <c r="DD308" s="37" t="n">
        <f aca="false">DD304+DD307</f>
        <v>-382072.838350139</v>
      </c>
      <c r="DE308" s="37" t="n">
        <f aca="false">DE304+DE307</f>
        <v>-382072.838350139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0.209162934550824</v>
      </c>
      <c r="O309" s="33" t="n">
        <f aca="false">IFERROR(IF(OR(O304&lt;=0,O308/O304&lt;0,O308/O304&gt;1),0,O308/O304),0)</f>
        <v>0.137771747813805</v>
      </c>
      <c r="P309" s="33" t="n">
        <f aca="false">IFERROR(IF(OR(P304&lt;=0,P308/P304&lt;0,P308/P304&gt;1),0,P308/P304),0)</f>
        <v>0.205823378796425</v>
      </c>
      <c r="Q309" s="33" t="n">
        <f aca="false">IFERROR(IF(OR(Q304&lt;=0,Q308/Q304&lt;0,Q308/Q304&gt;1),0,Q308/Q304),0)</f>
        <v>0</v>
      </c>
      <c r="R309" s="33" t="n">
        <f aca="false">IFERROR(IF(OR(R304&lt;=0,R308/R304&lt;0,R308/R304&gt;1),0,R308/R304),0)</f>
        <v>0.0364355063430363</v>
      </c>
      <c r="S309" s="33" t="n">
        <f aca="false">IFERROR(IF(OR(S304&lt;=0,S308/S304&lt;0,S308/S304&gt;1),0,S308/S304),0)</f>
        <v>0</v>
      </c>
      <c r="T309" s="33" t="n">
        <f aca="false">IFERROR(IF(OR(T304&lt;=0,T308/T304&lt;0,T308/T304&gt;1),0,T308/T304),0)</f>
        <v>0.385732745985131</v>
      </c>
      <c r="U309" s="33" t="n">
        <f aca="false">IFERROR(IF(OR(U304&lt;=0,U308/U304&lt;0,U308/U304&gt;1),0,U308/U304),0)</f>
        <v>0.329433233427742</v>
      </c>
      <c r="V309" s="33" t="n">
        <f aca="false">IFERROR(IF(OR(V304&lt;=0,V308/V304&lt;0,V308/V304&gt;1),0,V308/V304),0)</f>
        <v>0.278051216665342</v>
      </c>
      <c r="W309" s="33" t="n">
        <f aca="false">IFERROR(IF(OR(W304&lt;=0,W308/W304&lt;0,W308/W304&gt;1),0,W308/W304),0)</f>
        <v>0.212442313758193</v>
      </c>
      <c r="X309" s="33" t="n">
        <f aca="false">IFERROR(IF(OR(X304&lt;=0,X308/X304&lt;0,X308/X304&gt;1),0,X308/X304),0)</f>
        <v>0.486032511690724</v>
      </c>
      <c r="Y309" s="33" t="n">
        <f aca="false">IFERROR(IF(OR(Y304&lt;=0,Y308/Y304&lt;0,Y308/Y304&gt;1),0,Y308/Y304),0)</f>
        <v>0.391662985112132</v>
      </c>
      <c r="Z309" s="33" t="n">
        <f aca="false">IFERROR(IF(OR(Z304&lt;=0,Z308/Z304&lt;0,Z308/Z304&gt;1),0,Z308/Z304),0)</f>
        <v>0.455178351730061</v>
      </c>
      <c r="AA309" s="33" t="n">
        <f aca="false">IFERROR(IF(OR(AA304&lt;=0,AA308/AA304&lt;0,AA308/AA304&gt;1),0,AA308/AA304),0)</f>
        <v>0.417460687771901</v>
      </c>
      <c r="AB309" s="33" t="n">
        <f aca="false">IFERROR(IF(OR(AB304&lt;=0,AB308/AB304&lt;0,AB308/AB304&gt;1),0,AB308/AB304),0)</f>
        <v>0.429545971440163</v>
      </c>
      <c r="AC309" s="33" t="n">
        <f aca="false">IFERROR(IF(OR(AC304&lt;=0,AC308/AC304&lt;0,AC308/AC304&gt;1),0,AC308/AC304),0)</f>
        <v>0.304454282234436</v>
      </c>
      <c r="AD309" s="33" t="n">
        <f aca="false">IFERROR(IF(OR(AD304&lt;=0,AD308/AD304&lt;0,AD308/AD304&gt;1),0,AD308/AD304),0)</f>
        <v>0.355076888166093</v>
      </c>
      <c r="AE309" s="33" t="n">
        <f aca="false">IFERROR(IF(OR(AE304&lt;=0,AE308/AE304&lt;0,AE308/AE304&gt;1),0,AE308/AE304),0)</f>
        <v>0</v>
      </c>
      <c r="AF309" s="33" t="n">
        <f aca="false">IFERROR(IF(OR(AF304&lt;=0,AF308/AF304&lt;0,AF308/AF304&gt;1),0,AF308/AF304),0)</f>
        <v>0.486590092545494</v>
      </c>
      <c r="AG309" s="33" t="n">
        <f aca="false">IFERROR(IF(OR(AG304&lt;=0,AG308/AG304&lt;0,AG308/AG304&gt;1),0,AG308/AG304),0)</f>
        <v>0.485539505122062</v>
      </c>
      <c r="AH309" s="33" t="n">
        <f aca="false">IFERROR(IF(OR(AH304&lt;=0,AH308/AH304&lt;0,AH308/AH304&gt;1),0,AH308/AH304),0)</f>
        <v>0.489513942505722</v>
      </c>
      <c r="AI309" s="33" t="n">
        <f aca="false">IFERROR(IF(OR(AI304&lt;=0,AI308/AI304&lt;0,AI308/AI304&gt;1),0,AI308/AI304),0)</f>
        <v>0.434799990502954</v>
      </c>
      <c r="AJ309" s="33" t="n">
        <f aca="false">IFERROR(IF(OR(AJ304&lt;=0,AJ308/AJ304&lt;0,AJ308/AJ304&gt;1),0,AJ308/AJ304),0)</f>
        <v>0.399582729812978</v>
      </c>
      <c r="AK309" s="33" t="n">
        <f aca="false">IFERROR(IF(OR(AK304&lt;=0,AK308/AK304&lt;0,AK308/AK304&gt;1),0,AK308/AK304),0)</f>
        <v>0.383061019623083</v>
      </c>
      <c r="AL309" s="33" t="n">
        <f aca="false">IFERROR(IF(OR(AL304&lt;=0,AL308/AL304&lt;0,AL308/AL304&gt;1),0,AL308/AL304),0)</f>
        <v>0.427833682351395</v>
      </c>
      <c r="AM309" s="33" t="n">
        <f aca="false">IFERROR(IF(OR(AM304&lt;=0,AM308/AM304&lt;0,AM308/AM304&gt;1),0,AM308/AM304),0)</f>
        <v>0.471912855346111</v>
      </c>
      <c r="AN309" s="33" t="n">
        <f aca="false">IFERROR(IF(OR(AN304&lt;=0,AN308/AN304&lt;0,AN308/AN304&gt;1),0,AN308/AN304),0)</f>
        <v>0.463420666654613</v>
      </c>
      <c r="AO309" s="33" t="n">
        <f aca="false">IFERROR(IF(OR(AO304&lt;=0,AO308/AO304&lt;0,AO308/AO304&gt;1),0,AO308/AO304),0)</f>
        <v>0.429624804984457</v>
      </c>
      <c r="AP309" s="33" t="n">
        <f aca="false">IFERROR(IF(OR(AP304&lt;=0,AP308/AP304&lt;0,AP308/AP304&gt;1),0,AP308/AP304),0)</f>
        <v>0.268891516108684</v>
      </c>
      <c r="AQ309" s="33" t="n">
        <f aca="false">IFERROR(IF(OR(AQ304&lt;=0,AQ308/AQ304&lt;0,AQ308/AQ304&gt;1),0,AQ308/AQ304),0)</f>
        <v>0.448605085324822</v>
      </c>
      <c r="AR309" s="33" t="n">
        <f aca="false">IFERROR(IF(OR(AR304&lt;=0,AR308/AR304&lt;0,AR308/AR304&gt;1),0,AR308/AR304),0)</f>
        <v>0.453225279207251</v>
      </c>
      <c r="AS309" s="33" t="n">
        <f aca="false">IFERROR(IF(OR(AS304&lt;=0,AS308/AS304&lt;0,AS308/AS304&gt;1),0,AS308/AS304),0)</f>
        <v>0.476326248619395</v>
      </c>
      <c r="AT309" s="33" t="n">
        <f aca="false">IFERROR(IF(OR(AT304&lt;=0,AT308/AT304&lt;0,AT308/AT304&gt;1),0,AT308/AT304),0)</f>
        <v>0.441645757398568</v>
      </c>
      <c r="AU309" s="33" t="n">
        <f aca="false">IFERROR(IF(OR(AU304&lt;=0,AU308/AU304&lt;0,AU308/AU304&gt;1),0,AU308/AU304),0)</f>
        <v>0.450447886425812</v>
      </c>
      <c r="AV309" s="33" t="n">
        <f aca="false">IFERROR(IF(OR(AV304&lt;=0,AV308/AV304&lt;0,AV308/AV304&gt;1),0,AV308/AV304),0)</f>
        <v>0.520531337881605</v>
      </c>
      <c r="AW309" s="33" t="n">
        <f aca="false">IFERROR(IF(OR(AW304&lt;=0,AW308/AW304&lt;0,AW308/AW304&gt;1),0,AW308/AW304),0)</f>
        <v>0.355304203664709</v>
      </c>
      <c r="AX309" s="33" t="n">
        <f aca="false">IFERROR(IF(OR(AX304&lt;=0,AX308/AX304&lt;0,AX308/AX304&gt;1),0,AX308/AX304),0)</f>
        <v>0.404058721152312</v>
      </c>
      <c r="AY309" s="33" t="n">
        <f aca="false">IFERROR(IF(OR(AY304&lt;=0,AY308/AY304&lt;0,AY308/AY304&gt;1),0,AY308/AY304),0)</f>
        <v>0.398547516125767</v>
      </c>
      <c r="AZ309" s="33" t="n">
        <f aca="false">IFERROR(IF(OR(AZ304&lt;=0,AZ308/AZ304&lt;0,AZ308/AZ304&gt;1),0,AZ308/AZ304),0)</f>
        <v>0.370756828989243</v>
      </c>
      <c r="BA309" s="33" t="n">
        <f aca="false">IFERROR(IF(OR(BA304&lt;=0,BA308/BA304&lt;0,BA308/BA304&gt;1),0,BA308/BA304),0)</f>
        <v>0.366227257901788</v>
      </c>
      <c r="BB309" s="33" t="n">
        <f aca="false">IFERROR(IF(OR(BB304&lt;=0,BB308/BB304&lt;0,BB308/BB304&gt;1),0,BB308/BB304),0)</f>
        <v>0.230534844284826</v>
      </c>
      <c r="BC309" s="33" t="n">
        <f aca="false">IFERROR(IF(OR(BC304&lt;=0,BC308/BC304&lt;0,BC308/BC304&gt;1),0,BC308/BC304),0)</f>
        <v>0.243821979333772</v>
      </c>
      <c r="BD309" s="33" t="n">
        <f aca="false">IFERROR(IF(OR(BD304&lt;=0,BD308/BD304&lt;0,BD308/BD304&gt;1),0,BD308/BD304),0)</f>
        <v>0.409016350867796</v>
      </c>
      <c r="BE309" s="33" t="n">
        <f aca="false">IFERROR(IF(OR(BE304&lt;=0,BE308/BE304&lt;0,BE308/BE304&gt;1),0,BE308/BE304),0)</f>
        <v>0.391956311960542</v>
      </c>
      <c r="BF309" s="33" t="n">
        <f aca="false">IFERROR(IF(OR(BF304&lt;=0,BF308/BF304&lt;0,BF308/BF304&gt;1),0,BF308/BF304),0)</f>
        <v>0.368922289722014</v>
      </c>
      <c r="BG309" s="33" t="n">
        <f aca="false">IFERROR(IF(OR(BG304&lt;=0,BG308/BG304&lt;0,BG308/BG304&gt;1),0,BG308/BG304),0)</f>
        <v>0.408212248566704</v>
      </c>
      <c r="BH309" s="33" t="n">
        <f aca="false">IFERROR(IF(OR(BH304&lt;=0,BH308/BH304&lt;0,BH308/BH304&gt;1),0,BH308/BH304),0)</f>
        <v>0.384446477207877</v>
      </c>
      <c r="BI309" s="33" t="n">
        <f aca="false">IFERROR(IF(OR(BI304&lt;=0,BI308/BI304&lt;0,BI308/BI304&gt;1),0,BI308/BI304),0)</f>
        <v>0.25490843481511</v>
      </c>
      <c r="BJ309" s="33" t="n">
        <f aca="false">IFERROR(IF(OR(BJ304&lt;=0,BJ308/BJ304&lt;0,BJ308/BJ304&gt;1),0,BJ308/BJ304),0)</f>
        <v>0.251335820690587</v>
      </c>
      <c r="BK309" s="33" t="n">
        <f aca="false">IFERROR(IF(OR(BK304&lt;=0,BK308/BK304&lt;0,BK308/BK304&gt;1),0,BK308/BK304),0)</f>
        <v>0.254199771253553</v>
      </c>
      <c r="BL309" s="33" t="n">
        <f aca="false">IFERROR(IF(OR(BL304&lt;=0,BL308/BL304&lt;0,BL308/BL304&gt;1),0,BL308/BL304),0)</f>
        <v>0.234749848777671</v>
      </c>
      <c r="BM309" s="33" t="n">
        <f aca="false">IFERROR(IF(OR(BM304&lt;=0,BM308/BM304&lt;0,BM308/BM304&gt;1),0,BM308/BM304),0)</f>
        <v>0.249469743582054</v>
      </c>
      <c r="BN309" s="33" t="n">
        <f aca="false">IFERROR(IF(OR(BN304&lt;=0,BN308/BN304&lt;0,BN308/BN304&gt;1),0,BN308/BN304),0)</f>
        <v>0.201700274744167</v>
      </c>
      <c r="BO309" s="33" t="n">
        <f aca="false">IFERROR(IF(OR(BO304&lt;=0,BO308/BO304&lt;0,BO308/BO304&gt;1),0,BO308/BO304),0)</f>
        <v>0.114579890255495</v>
      </c>
      <c r="BP309" s="33" t="n">
        <f aca="false">IFERROR(IF(OR(BP304&lt;=0,BP308/BP304&lt;0,BP308/BP304&gt;1),0,BP308/BP304),0)</f>
        <v>0.186847072591713</v>
      </c>
      <c r="BQ309" s="33" t="n">
        <f aca="false">IFERROR(IF(OR(BQ304&lt;=0,BQ308/BQ304&lt;0,BQ308/BQ304&gt;1),0,BQ308/BQ304),0)</f>
        <v>0.215960003707436</v>
      </c>
      <c r="BR309" s="33" t="n">
        <f aca="false">IFERROR(IF(OR(BR304&lt;=0,BR308/BR304&lt;0,BR308/BR304&gt;1),0,BR308/BR304),0)</f>
        <v>0.263703437948815</v>
      </c>
      <c r="BS309" s="33" t="n">
        <f aca="false">IFERROR(IF(OR(BS304&lt;=0,BS308/BS304&lt;0,BS308/BS304&gt;1),0,BS308/BS304),0)</f>
        <v>0.154860564329152</v>
      </c>
      <c r="BT309" s="33" t="n">
        <f aca="false">IFERROR(IF(OR(BT304&lt;=0,BT308/BT304&lt;0,BT308/BT304&gt;1),0,BT308/BT304),0)</f>
        <v>0.0595567774001654</v>
      </c>
      <c r="BU309" s="33" t="n">
        <f aca="false">IFERROR(IF(OR(BU304&lt;=0,BU308/BU304&lt;0,BU308/BU304&gt;1),0,BU308/BU304),0)</f>
        <v>0.0553769133121817</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-198845.27</v>
      </c>
      <c r="L311" s="13" t="n">
        <f aca="false">ROUND(L308-(Budget!M57+Budget!M114),2)</f>
        <v>-266356.81</v>
      </c>
      <c r="M311" s="13" t="n">
        <f aca="false">ROUND(M308-(Budget!N57+Budget!N114),2)</f>
        <v>-501076.68</v>
      </c>
      <c r="N311" s="13" t="n">
        <f aca="false">ROUND(N308-(Budget!O57+Budget!O114),2)</f>
        <v>166182.74</v>
      </c>
      <c r="O311" s="13" t="n">
        <f aca="false">ROUND(O308-(Budget!P57+Budget!P114),2)</f>
        <v>113927.9</v>
      </c>
      <c r="P311" s="13" t="n">
        <f aca="false">ROUND(P308-(Budget!Q57+Budget!Q114),2)</f>
        <v>174192.9</v>
      </c>
      <c r="Q311" s="13" t="n">
        <f aca="false">ROUND(Q308-(Budget!R57+Budget!R114),2)</f>
        <v>-105412.68</v>
      </c>
      <c r="R311" s="13" t="n">
        <f aca="false">ROUND(R308-(Budget!S57+Budget!S114),2)</f>
        <v>28812.63</v>
      </c>
      <c r="S311" s="13" t="n">
        <f aca="false">ROUND(S308-(Budget!T57+Budget!T114),2)</f>
        <v>-404191.05</v>
      </c>
      <c r="T311" s="13" t="n">
        <f aca="false">ROUND(T308-(Budget!U57+Budget!U114),2)</f>
        <v>476443.37</v>
      </c>
      <c r="U311" s="13" t="n">
        <f aca="false">ROUND(U308-(Budget!V57+Budget!V114),2)</f>
        <v>372741.31</v>
      </c>
      <c r="V311" s="13" t="n">
        <f aca="false">ROUND(V308-(Budget!W57+Budget!W114),2)</f>
        <v>292213.68</v>
      </c>
      <c r="W311" s="13" t="n">
        <f aca="false">ROUND(W308-(Budget!X57+Budget!X114),2)</f>
        <v>204663.68</v>
      </c>
      <c r="X311" s="13" t="n">
        <f aca="false">ROUND(X308-(Budget!Y57+Budget!Y114),2)</f>
        <v>717483.32</v>
      </c>
      <c r="Y311" s="13" t="n">
        <f aca="false">ROUND(Y308-(Budget!Z57+Budget!Z114),2)</f>
        <v>528765.58</v>
      </c>
      <c r="Z311" s="13" t="n">
        <f aca="false">ROUND(Z308-(Budget!AA57+Budget!AA114),2)</f>
        <v>633883.4</v>
      </c>
      <c r="AA311" s="13" t="n">
        <f aca="false">ROUND(AA308-(Budget!AB57+Budget!AB114),2)</f>
        <v>543716.46</v>
      </c>
      <c r="AB311" s="13" t="n">
        <f aca="false">ROUND(AB308-(Budget!AC57+Budget!AC114),2)</f>
        <v>571309.09</v>
      </c>
      <c r="AC311" s="13" t="n">
        <f aca="false">ROUND(AC308-(Budget!AD57+Budget!AD114),2)</f>
        <v>358165.59</v>
      </c>
      <c r="AD311" s="13" t="n">
        <f aca="false">ROUND(AD308-(Budget!AE57+Budget!AE114),2)</f>
        <v>425731.63</v>
      </c>
      <c r="AE311" s="13" t="n">
        <f aca="false">ROUND(AE308-(Budget!AF57+Budget!AF114),2)</f>
        <v>-101023.39</v>
      </c>
      <c r="AF311" s="13" t="n">
        <f aca="false">ROUND(AF308-(Budget!AG57+Budget!AG114),2)</f>
        <v>732859.08</v>
      </c>
      <c r="AG311" s="13" t="n">
        <f aca="false">ROUND(AG308-(Budget!AH57+Budget!AH114),2)</f>
        <v>750015.45</v>
      </c>
      <c r="AH311" s="13" t="n">
        <f aca="false">ROUND(AH308-(Budget!AI57+Budget!AI114),2)</f>
        <v>796203.33</v>
      </c>
      <c r="AI311" s="13" t="n">
        <f aca="false">ROUND(AI308-(Budget!AJ57+Budget!AJ114),2)</f>
        <v>638748.91</v>
      </c>
      <c r="AJ311" s="13" t="n">
        <f aca="false">ROUND(AJ308-(Budget!AK57+Budget!AK114),2)</f>
        <v>547590.19</v>
      </c>
      <c r="AK311" s="13" t="n">
        <f aca="false">ROUND(AK308-(Budget!AL57+Budget!AL114),2)</f>
        <v>510890.56</v>
      </c>
      <c r="AL311" s="13" t="n">
        <f aca="false">ROUND(AL308-(Budget!AM57+Budget!AM114),2)</f>
        <v>615254.52</v>
      </c>
      <c r="AM311" s="13" t="n">
        <f aca="false">ROUND(AM308-(Budget!AN57+Budget!AN114),2)</f>
        <v>735289.46</v>
      </c>
      <c r="AN311" s="13" t="n">
        <f aca="false">ROUND(AN308-(Budget!AO57+Budget!AO114),2)</f>
        <v>754136.18</v>
      </c>
      <c r="AO311" s="13" t="n">
        <f aca="false">ROUND(AO308-(Budget!AP57+Budget!AP114),2)</f>
        <v>682962.2</v>
      </c>
      <c r="AP311" s="13" t="n">
        <f aca="false">ROUND(AP308-(Budget!AQ57+Budget!AQ114),2)</f>
        <v>326441.05</v>
      </c>
      <c r="AQ311" s="13" t="n">
        <f aca="false">ROUND(AQ308-(Budget!AR57+Budget!AR114),2)</f>
        <v>728224.45</v>
      </c>
      <c r="AR311" s="13" t="n">
        <f aca="false">ROUND(AR308-(Budget!AS57+Budget!AS114),2)</f>
        <v>735724.45</v>
      </c>
      <c r="AS311" s="13" t="n">
        <f aca="false">ROUND(AS308-(Budget!AT57+Budget!AT114),2)</f>
        <v>773224.45</v>
      </c>
      <c r="AT311" s="13" t="n">
        <f aca="false">ROUND(AT308-(Budget!AU57+Budget!AU114),2)</f>
        <v>800855.42</v>
      </c>
      <c r="AU311" s="13" t="n">
        <f aca="false">ROUND(AU308-(Budget!AV57+Budget!AV114),2)</f>
        <v>799074.62</v>
      </c>
      <c r="AV311" s="13" t="n">
        <f aca="false">ROUND(AV308-(Budget!AW57+Budget!AW114),2)</f>
        <v>971740.88</v>
      </c>
      <c r="AW311" s="13" t="n">
        <f aca="false">ROUND(AW308-(Budget!AX57+Budget!AX114),2)</f>
        <v>534181.09</v>
      </c>
      <c r="AX311" s="13" t="n">
        <f aca="false">ROUND(AX308-(Budget!AY57+Budget!AY114),2)</f>
        <v>574476.6</v>
      </c>
      <c r="AY311" s="13" t="n">
        <f aca="false">ROUND(AY308-(Budget!AZ57+Budget!AZ114),2)</f>
        <v>609824.35</v>
      </c>
      <c r="AZ311" s="13" t="n">
        <f aca="false">ROUND(AZ308-(Budget!BA57+Budget!BA114),2)</f>
        <v>590890.13</v>
      </c>
      <c r="BA311" s="13" t="n">
        <f aca="false">ROUND(BA308-(Budget!BB57+Budget!BB114),2)</f>
        <v>547143.43</v>
      </c>
      <c r="BB311" s="13" t="n">
        <f aca="false">ROUND(BB308-(Budget!BC57+Budget!BC114),2)</f>
        <v>283137.04</v>
      </c>
      <c r="BC311" s="13" t="n">
        <f aca="false">ROUND(BC308-(Budget!BD57+Budget!BD114),2)</f>
        <v>591882.91</v>
      </c>
      <c r="BD311" s="13" t="n">
        <f aca="false">ROUND(BD308-(Budget!BE57+Budget!BE114),2)</f>
        <v>618456.61</v>
      </c>
      <c r="BE311" s="13" t="n">
        <f aca="false">ROUND(BE308-(Budget!BF57+Budget!BF114),2)</f>
        <v>599739.03</v>
      </c>
      <c r="BF311" s="13" t="n">
        <f aca="false">ROUND(BF308-(Budget!BG57+Budget!BG114),2)</f>
        <v>599453.62</v>
      </c>
      <c r="BG311" s="13" t="n">
        <f aca="false">ROUND(BG308-(Budget!BH57+Budget!BH114),2)</f>
        <v>617240.76</v>
      </c>
      <c r="BH311" s="13" t="n">
        <f aca="false">ROUND(BH308-(Budget!BI57+Budget!BI114),2)</f>
        <v>581755.25</v>
      </c>
      <c r="BI311" s="13" t="n">
        <f aca="false">ROUND(BI308-(Budget!BJ57+Budget!BJ114),2)</f>
        <v>350989.25</v>
      </c>
      <c r="BJ311" s="13" t="n">
        <f aca="false">ROUND(BJ308-(Budget!BK57+Budget!BK114),2)</f>
        <v>267788.35</v>
      </c>
      <c r="BK311" s="13" t="n">
        <f aca="false">ROUND(BK308-(Budget!BL57+Budget!BL114),2)</f>
        <v>270839.78</v>
      </c>
      <c r="BL311" s="13" t="n">
        <f aca="false">ROUND(BL308-(Budget!BM57+Budget!BM114),2)</f>
        <v>280839.78</v>
      </c>
      <c r="BM311" s="13" t="n">
        <f aca="false">ROUND(BM308-(Budget!BN57+Budget!BN114),2)</f>
        <v>292830.64</v>
      </c>
      <c r="BN311" s="13" t="n">
        <f aca="false">ROUND(BN308-(Budget!BO57+Budget!BO114),2)</f>
        <v>211261.21</v>
      </c>
      <c r="BO311" s="13" t="n">
        <f aca="false">ROUND(BO308-(Budget!BP57+Budget!BP114),2)</f>
        <v>114315.35</v>
      </c>
      <c r="BP311" s="13" t="n">
        <f aca="false">ROUND(BP308-(Budget!BQ57+Budget!BQ114),2)</f>
        <v>161961.88</v>
      </c>
      <c r="BQ311" s="13" t="n">
        <f aca="false">ROUND(BQ308-(Budget!BR57+Budget!BR114),2)</f>
        <v>187197.41</v>
      </c>
      <c r="BR311" s="13" t="n">
        <f aca="false">ROUND(BR308-(Budget!BS57+Budget!BS114),2)</f>
        <v>289945.74</v>
      </c>
      <c r="BS311" s="13" t="n">
        <f aca="false">ROUND(BS308-(Budget!BT57+Budget!BT114),2)</f>
        <v>137032.06</v>
      </c>
      <c r="BT311" s="13" t="n">
        <f aca="false">ROUND(BT308-(Budget!BU57+Budget!BU114),2)</f>
        <v>45171.63</v>
      </c>
      <c r="BU311" s="13" t="n">
        <f aca="false">ROUND(BU308-(Budget!BV57+Budget!BV114),2)</f>
        <v>44886.98</v>
      </c>
      <c r="BV311" s="13" t="n">
        <f aca="false">ROUND(BV308-(Budget!BW57+Budget!BW114),2)</f>
        <v>-97868.19</v>
      </c>
      <c r="BW311" s="13" t="n">
        <f aca="false">ROUND(BW308-(Budget!BX57+Budget!BX114),2)</f>
        <v>-189606.84</v>
      </c>
      <c r="BX311" s="13" t="n">
        <f aca="false">ROUND(BX308-(Budget!BY57+Budget!BY114),2)</f>
        <v>-202666.4</v>
      </c>
      <c r="BY311" s="13" t="n">
        <f aca="false">ROUND(BY308-(Budget!BZ57+Budget!BZ114),2)</f>
        <v>-366417.59</v>
      </c>
      <c r="BZ311" s="13" t="n">
        <f aca="false">ROUND(BZ308-(Budget!CA57+Budget!CA114),2)</f>
        <v>-455299.94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-399519.69</v>
      </c>
      <c r="CX311" s="13" t="n">
        <f aca="false">ROUND(CX308-(Budget!CY57+Budget!CY114),2)</f>
        <v>-382072.84</v>
      </c>
      <c r="CY311" s="13" t="n">
        <f aca="false">ROUND(CY308-(Budget!CZ57+Budget!CZ114),2)</f>
        <v>-382072.84</v>
      </c>
      <c r="CZ311" s="13" t="n">
        <f aca="false">ROUND(CZ308-(Budget!DA57+Budget!DA114),2)</f>
        <v>-382072.84</v>
      </c>
      <c r="DA311" s="13" t="n">
        <f aca="false">ROUND(DA308-(Budget!DB57+Budget!DB114),2)</f>
        <v>-382072.84</v>
      </c>
      <c r="DB311" s="13" t="n">
        <f aca="false">ROUND(DB308-(Budget!DC57+Budget!DC114),2)</f>
        <v>-382072.84</v>
      </c>
      <c r="DC311" s="13" t="n">
        <f aca="false">ROUND(DC308-(Budget!DD57+Budget!DD114),2)</f>
        <v>-382072.84</v>
      </c>
      <c r="DD311" s="13" t="n">
        <f aca="false">ROUND(DD308-(Budget!DE57+Budget!DE114),2)</f>
        <v>-382072.84</v>
      </c>
      <c r="DE311" s="13" t="n">
        <f aca="false">ROUND(DE308-(Budget!DF57+Budget!DF114),2)</f>
        <v>-382072.84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250000</v>
      </c>
      <c r="BA321" s="13" t="n">
        <f aca="false">AZ323</f>
        <v>250000</v>
      </c>
      <c r="BB321" s="13" t="n">
        <f aca="false">BA323</f>
        <v>250000</v>
      </c>
      <c r="BC321" s="13" t="n">
        <f aca="false">BB323</f>
        <v>250000</v>
      </c>
      <c r="BD321" s="13" t="n">
        <f aca="false">BC323</f>
        <v>250000</v>
      </c>
      <c r="BE321" s="13" t="n">
        <f aca="false">BD323</f>
        <v>250000</v>
      </c>
      <c r="BF321" s="13" t="n">
        <f aca="false">BE323</f>
        <v>250000</v>
      </c>
      <c r="BG321" s="13" t="n">
        <f aca="false">BF323</f>
        <v>250000</v>
      </c>
      <c r="BH321" s="13" t="n">
        <f aca="false">BG323</f>
        <v>250000</v>
      </c>
      <c r="BI321" s="13" t="n">
        <f aca="false">BH323</f>
        <v>250000</v>
      </c>
      <c r="BJ321" s="13" t="n">
        <f aca="false">BI323</f>
        <v>250000</v>
      </c>
      <c r="BK321" s="13" t="n">
        <f aca="false">BJ323</f>
        <v>250000</v>
      </c>
      <c r="BL321" s="13" t="n">
        <f aca="false">BK323</f>
        <v>0</v>
      </c>
      <c r="BM321" s="13" t="n">
        <f aca="false">BL323</f>
        <v>0</v>
      </c>
      <c r="BN321" s="13" t="n">
        <f aca="false">BM323</f>
        <v>0</v>
      </c>
      <c r="BO321" s="13" t="n">
        <f aca="false">BN323</f>
        <v>0</v>
      </c>
      <c r="BP321" s="13" t="n">
        <f aca="false">BO323</f>
        <v>0</v>
      </c>
      <c r="BQ321" s="13" t="n">
        <f aca="false">BP323</f>
        <v>0</v>
      </c>
      <c r="BR321" s="13" t="n">
        <f aca="false">BQ323</f>
        <v>0</v>
      </c>
      <c r="BS321" s="13" t="n">
        <f aca="false">BR323</f>
        <v>0</v>
      </c>
      <c r="BT321" s="13" t="n">
        <f aca="false">BS323</f>
        <v>0</v>
      </c>
      <c r="BU321" s="13" t="n">
        <f aca="false">BT323</f>
        <v>0</v>
      </c>
      <c r="BV321" s="13" t="n">
        <f aca="false">BU323</f>
        <v>0</v>
      </c>
      <c r="BW321" s="13" t="n">
        <f aca="false">BV323</f>
        <v>0</v>
      </c>
      <c r="BX321" s="13" t="n">
        <f aca="false">BW323</f>
        <v>0</v>
      </c>
      <c r="BY321" s="13" t="n">
        <f aca="false">BX323</f>
        <v>0</v>
      </c>
      <c r="BZ321" s="13" t="n">
        <f aca="false">BY323</f>
        <v>0</v>
      </c>
      <c r="CA321" s="13" t="n">
        <f aca="false">BZ323</f>
        <v>0</v>
      </c>
      <c r="CB321" s="13" t="n">
        <f aca="false">CA323</f>
        <v>0</v>
      </c>
      <c r="CC321" s="13" t="n">
        <f aca="false">CB323</f>
        <v>0</v>
      </c>
      <c r="CD321" s="13" t="n">
        <f aca="false">CC323</f>
        <v>0</v>
      </c>
      <c r="CE321" s="13" t="n">
        <f aca="false">CD323</f>
        <v>0</v>
      </c>
      <c r="CF321" s="13" t="n">
        <f aca="false">CE323</f>
        <v>0</v>
      </c>
      <c r="CG321" s="13" t="n">
        <f aca="false">CF323</f>
        <v>0</v>
      </c>
      <c r="CH321" s="13" t="n">
        <f aca="false">CG323</f>
        <v>0</v>
      </c>
      <c r="CI321" s="13" t="n">
        <f aca="false">CH323</f>
        <v>0</v>
      </c>
      <c r="CJ321" s="13" t="n">
        <f aca="false">CI323</f>
        <v>0</v>
      </c>
      <c r="CK321" s="13" t="n">
        <f aca="false">CJ323</f>
        <v>0</v>
      </c>
      <c r="CL321" s="13" t="n">
        <f aca="false">CK323</f>
        <v>0</v>
      </c>
      <c r="CM321" s="13" t="n">
        <f aca="false">CL323</f>
        <v>0</v>
      </c>
      <c r="CN321" s="13" t="n">
        <f aca="false">CM323</f>
        <v>0</v>
      </c>
      <c r="CO321" s="13" t="n">
        <f aca="false">CN323</f>
        <v>0</v>
      </c>
      <c r="CP321" s="13" t="n">
        <f aca="false">CO323</f>
        <v>0</v>
      </c>
      <c r="CQ321" s="13" t="n">
        <f aca="false">CP323</f>
        <v>0</v>
      </c>
      <c r="CR321" s="13" t="n">
        <f aca="false">CQ323</f>
        <v>0</v>
      </c>
      <c r="CS321" s="13" t="n">
        <f aca="false">CR323</f>
        <v>0</v>
      </c>
      <c r="CT321" s="13" t="n">
        <f aca="false">CS323</f>
        <v>0</v>
      </c>
      <c r="CU321" s="13" t="n">
        <f aca="false">CT323</f>
        <v>0</v>
      </c>
      <c r="CV321" s="13" t="n">
        <f aca="false">CU323</f>
        <v>0</v>
      </c>
      <c r="CW321" s="13" t="n">
        <f aca="false">CV323</f>
        <v>0</v>
      </c>
      <c r="CX321" s="13" t="n">
        <f aca="false">CW323</f>
        <v>0</v>
      </c>
      <c r="CY321" s="13" t="n">
        <f aca="false">CX323</f>
        <v>0</v>
      </c>
      <c r="CZ321" s="13" t="n">
        <f aca="false">CY323</f>
        <v>0</v>
      </c>
      <c r="DA321" s="13" t="n">
        <f aca="false">CZ323</f>
        <v>0</v>
      </c>
      <c r="DB321" s="13" t="n">
        <f aca="false">DA323</f>
        <v>0</v>
      </c>
      <c r="DC321" s="13" t="n">
        <f aca="false">DB323</f>
        <v>0</v>
      </c>
      <c r="DD321" s="13" t="n">
        <f aca="false">DC323</f>
        <v>0</v>
      </c>
      <c r="DE321" s="13" t="n">
        <f aca="false">DD323</f>
        <v>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-250000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-250000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250000</v>
      </c>
      <c r="AZ323" s="46" t="n">
        <f aca="false">MAX(0,AZ321+AZ322)</f>
        <v>250000</v>
      </c>
      <c r="BA323" s="46" t="n">
        <f aca="false">MAX(0,BA321+BA322)</f>
        <v>250000</v>
      </c>
      <c r="BB323" s="46" t="n">
        <f aca="false">MAX(0,BB321+BB322)</f>
        <v>250000</v>
      </c>
      <c r="BC323" s="46" t="n">
        <f aca="false">MAX(0,BC321+BC322)</f>
        <v>250000</v>
      </c>
      <c r="BD323" s="46" t="n">
        <f aca="false">MAX(0,BD321+BD322)</f>
        <v>250000</v>
      </c>
      <c r="BE323" s="46" t="n">
        <f aca="false">MAX(0,BE321+BE322)</f>
        <v>250000</v>
      </c>
      <c r="BF323" s="46" t="n">
        <f aca="false">MAX(0,BF321+BF322)</f>
        <v>250000</v>
      </c>
      <c r="BG323" s="46" t="n">
        <f aca="false">MAX(0,BG321+BG322)</f>
        <v>250000</v>
      </c>
      <c r="BH323" s="46" t="n">
        <f aca="false">MAX(0,BH321+BH322)</f>
        <v>250000</v>
      </c>
      <c r="BI323" s="46" t="n">
        <f aca="false">MAX(0,BI321+BI322)</f>
        <v>250000</v>
      </c>
      <c r="BJ323" s="46" t="n">
        <f aca="false">MAX(0,BJ321+BJ322)</f>
        <v>250000</v>
      </c>
      <c r="BK323" s="46" t="n">
        <f aca="false">MAX(0,BK321+BK322)</f>
        <v>0</v>
      </c>
      <c r="BL323" s="46" t="n">
        <f aca="false">MAX(0,BL321+BL322)</f>
        <v>0</v>
      </c>
      <c r="BM323" s="46" t="n">
        <f aca="false">MAX(0,BM321+BM322)</f>
        <v>0</v>
      </c>
      <c r="BN323" s="46" t="n">
        <f aca="false">MAX(0,BN321+BN322)</f>
        <v>0</v>
      </c>
      <c r="BO323" s="46" t="n">
        <f aca="false">MAX(0,BO321+BO322)</f>
        <v>0</v>
      </c>
      <c r="BP323" s="46" t="n">
        <f aca="false">MAX(0,BP321+BP322)</f>
        <v>0</v>
      </c>
      <c r="BQ323" s="46" t="n">
        <f aca="false">MAX(0,BQ321+BQ322)</f>
        <v>0</v>
      </c>
      <c r="BR323" s="46" t="n">
        <f aca="false">MAX(0,BR321+BR322)</f>
        <v>0</v>
      </c>
      <c r="BS323" s="46" t="n">
        <f aca="false">MAX(0,BS321+BS322)</f>
        <v>0</v>
      </c>
      <c r="BT323" s="46" t="n">
        <f aca="false">MAX(0,BT321+BT322)</f>
        <v>0</v>
      </c>
      <c r="BU323" s="46" t="n">
        <f aca="false">MAX(0,BU321+BU322)</f>
        <v>0</v>
      </c>
      <c r="BV323" s="46" t="n">
        <f aca="false">MAX(0,BV321+BV322)</f>
        <v>0</v>
      </c>
      <c r="BW323" s="46" t="n">
        <f aca="false">MAX(0,BW321+BW322)</f>
        <v>0</v>
      </c>
      <c r="BX323" s="46" t="n">
        <f aca="false">MAX(0,BX321+BX322)</f>
        <v>0</v>
      </c>
      <c r="BY323" s="46" t="n">
        <f aca="false">MAX(0,BY321+BY322)</f>
        <v>0</v>
      </c>
      <c r="BZ323" s="46" t="n">
        <f aca="false">MAX(0,BZ321+BZ322)</f>
        <v>0</v>
      </c>
      <c r="CA323" s="46" t="n">
        <f aca="false">MAX(0,CA321+CA322)</f>
        <v>0</v>
      </c>
      <c r="CB323" s="46" t="n">
        <f aca="false">MAX(0,CB321+CB322)</f>
        <v>0</v>
      </c>
      <c r="CC323" s="46" t="n">
        <f aca="false">MAX(0,CC321+CC322)</f>
        <v>0</v>
      </c>
      <c r="CD323" s="46" t="n">
        <f aca="false">MAX(0,CD321+CD322)</f>
        <v>0</v>
      </c>
      <c r="CE323" s="46" t="n">
        <f aca="false">MAX(0,CE321+CE322)</f>
        <v>0</v>
      </c>
      <c r="CF323" s="46" t="n">
        <f aca="false">MAX(0,CF321+CF322)</f>
        <v>0</v>
      </c>
      <c r="CG323" s="46" t="n">
        <f aca="false">MAX(0,CG321+CG322)</f>
        <v>0</v>
      </c>
      <c r="CH323" s="46" t="n">
        <f aca="false">MAX(0,CH321+CH322)</f>
        <v>0</v>
      </c>
      <c r="CI323" s="46" t="n">
        <f aca="false">MAX(0,CI321+CI322)</f>
        <v>0</v>
      </c>
      <c r="CJ323" s="46" t="n">
        <f aca="false">MAX(0,CJ321+CJ322)</f>
        <v>0</v>
      </c>
      <c r="CK323" s="46" t="n">
        <f aca="false">MAX(0,CK321+CK322)</f>
        <v>0</v>
      </c>
      <c r="CL323" s="46" t="n">
        <f aca="false">MAX(0,CL321+CL322)</f>
        <v>0</v>
      </c>
      <c r="CM323" s="46" t="n">
        <f aca="false">MAX(0,CM321+CM322)</f>
        <v>0</v>
      </c>
      <c r="CN323" s="46" t="n">
        <f aca="false">MAX(0,CN321+CN322)</f>
        <v>0</v>
      </c>
      <c r="CO323" s="46" t="n">
        <f aca="false">MAX(0,CO321+CO322)</f>
        <v>0</v>
      </c>
      <c r="CP323" s="46" t="n">
        <f aca="false">MAX(0,CP321+CP322)</f>
        <v>0</v>
      </c>
      <c r="CQ323" s="46" t="n">
        <f aca="false">MAX(0,CQ321+CQ322)</f>
        <v>0</v>
      </c>
      <c r="CR323" s="46" t="n">
        <f aca="false">MAX(0,CR321+CR322)</f>
        <v>0</v>
      </c>
      <c r="CS323" s="46" t="n">
        <f aca="false">MAX(0,CS321+CS322)</f>
        <v>0</v>
      </c>
      <c r="CT323" s="46" t="n">
        <f aca="false">MAX(0,CT321+CT322)</f>
        <v>0</v>
      </c>
      <c r="CU323" s="46" t="n">
        <f aca="false">MAX(0,CU321+CU322)</f>
        <v>0</v>
      </c>
      <c r="CV323" s="46" t="n">
        <f aca="false">MAX(0,CV321+CV322)</f>
        <v>0</v>
      </c>
      <c r="CW323" s="46" t="n">
        <f aca="false">MAX(0,CW321+CW322)</f>
        <v>0</v>
      </c>
      <c r="CX323" s="46" t="n">
        <f aca="false">MAX(0,CX321+CX322)</f>
        <v>0</v>
      </c>
      <c r="CY323" s="46" t="n">
        <f aca="false">MAX(0,CY321+CY322)</f>
        <v>0</v>
      </c>
      <c r="CZ323" s="46" t="n">
        <f aca="false">MAX(0,CZ321+CZ322)</f>
        <v>0</v>
      </c>
      <c r="DA323" s="46" t="n">
        <f aca="false">MAX(0,DA321+DA322)</f>
        <v>0</v>
      </c>
      <c r="DB323" s="46" t="n">
        <f aca="false">MAX(0,DB321+DB322)</f>
        <v>0</v>
      </c>
      <c r="DC323" s="46" t="n">
        <f aca="false">MAX(0,DC321+DC322)</f>
        <v>0</v>
      </c>
      <c r="DD323" s="46" t="n">
        <f aca="false">MAX(0,DD321+DD322)</f>
        <v>0</v>
      </c>
      <c r="DE323" s="46" t="n">
        <f aca="false">MAX(0,DE321+DE322)</f>
        <v>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95425108.0594347</v>
      </c>
      <c r="R356" s="30" t="n">
        <f aca="false">SUM(R348:R355)+R357</f>
        <v>101465214.319242</v>
      </c>
      <c r="S356" s="30" t="n">
        <f aca="false">SUM(S348:S355)+S357</f>
        <v>139923409.92022</v>
      </c>
      <c r="T356" s="30" t="n">
        <f aca="false">SUM(T348:T355)+T357</f>
        <v>132080966.275982</v>
      </c>
      <c r="U356" s="30" t="n">
        <f aca="false">SUM(U348:U355)+U357</f>
        <v>124742417.256107</v>
      </c>
      <c r="V356" s="30" t="n">
        <f aca="false">SUM(V348:V355)+V357</f>
        <v>129730690.935604</v>
      </c>
      <c r="W356" s="30" t="n">
        <f aca="false">SUM(W348:W355)+W357</f>
        <v>134735562.212475</v>
      </c>
      <c r="X356" s="30" t="n">
        <f aca="false">SUM(X348:X355)+X357</f>
        <v>124265764.140738</v>
      </c>
      <c r="Y356" s="30" t="n">
        <f aca="false">SUM(Y348:Y355)+Y357</f>
        <v>114921954.782205</v>
      </c>
      <c r="Z356" s="30" t="n">
        <f aca="false">SUM(Z348:Z355)+Z357</f>
        <v>104402876.369504</v>
      </c>
      <c r="AA356" s="30" t="n">
        <f aca="false">SUM(AA348:AA355)+AA357</f>
        <v>94330088.7043768</v>
      </c>
      <c r="AB356" s="30" t="n">
        <f aca="false">SUM(AB348:AB355)+AB357</f>
        <v>81088973.3302383</v>
      </c>
      <c r="AC356" s="30" t="n">
        <f aca="false">SUM(AC348:AC355)+AC357</f>
        <v>73446878.9520495</v>
      </c>
      <c r="AD356" s="30" t="n">
        <f aca="false">SUM(AD348:AD355)+AD357</f>
        <v>65760331.7756841</v>
      </c>
      <c r="AE356" s="30" t="n">
        <f aca="false">SUM(AE348:AE355)+AE357</f>
        <v>99064774.3854532</v>
      </c>
      <c r="AF356" s="30" t="n">
        <f aca="false">SUM(AF348:AF355)+AF357</f>
        <v>91383140.099936</v>
      </c>
      <c r="AG356" s="30" t="n">
        <f aca="false">SUM(AG348:AG355)+AG357</f>
        <v>82795282.8899107</v>
      </c>
      <c r="AH356" s="30" t="n">
        <f aca="false">SUM(AH348:AH355)+AH357</f>
        <v>74580971.284942</v>
      </c>
      <c r="AI356" s="30" t="n">
        <f aca="false">SUM(AI348:AI355)+AI357</f>
        <v>67065521.035357</v>
      </c>
      <c r="AJ356" s="30" t="n">
        <f aca="false">SUM(AJ348:AJ355)+AJ357</f>
        <v>75333137.632296</v>
      </c>
      <c r="AK356" s="30" t="n">
        <f aca="false">SUM(AK348:AK355)+AK357</f>
        <v>69149692.430782</v>
      </c>
      <c r="AL356" s="30" t="n">
        <f aca="false">SUM(AL348:AL355)+AL357</f>
        <v>62904641.246598</v>
      </c>
      <c r="AM356" s="30" t="n">
        <f aca="false">SUM(AM348:AM355)+AM357</f>
        <v>56635075.598405</v>
      </c>
      <c r="AN356" s="30" t="n">
        <f aca="false">SUM(AN348:AN355)+AN357</f>
        <v>51355232.509006</v>
      </c>
      <c r="AO356" s="30" t="n">
        <f aca="false">SUM(AO348:AO355)+AO357</f>
        <v>46805538.379398</v>
      </c>
      <c r="AP356" s="30" t="n">
        <f aca="false">SUM(AP348:AP355)+AP357</f>
        <v>60111480.071818</v>
      </c>
      <c r="AQ356" s="30" t="n">
        <f aca="false">SUM(AQ348:AQ355)+AQ357</f>
        <v>55312910.377692</v>
      </c>
      <c r="AR356" s="30" t="n">
        <f aca="false">SUM(AR348:AR355)+AR357</f>
        <v>50442927.269526</v>
      </c>
      <c r="AS356" s="30" t="n">
        <f aca="false">SUM(AS348:AS355)+AS357</f>
        <v>45540861.913276</v>
      </c>
      <c r="AT356" s="30" t="n">
        <f aca="false">SUM(AT348:AT355)+AT357</f>
        <v>40651345.101246</v>
      </c>
      <c r="AU356" s="30" t="n">
        <f aca="false">SUM(AU348:AU355)+AU357</f>
        <v>35822965.68817</v>
      </c>
      <c r="AV356" s="30" t="n">
        <f aca="false">SUM(AV348:AV355)+AV357</f>
        <v>31106250.226984</v>
      </c>
      <c r="AW356" s="30" t="n">
        <f aca="false">SUM(AW348:AW355)+AW357</f>
        <v>27179280.501624</v>
      </c>
      <c r="AX356" s="30" t="n">
        <f aca="false">SUM(AX348:AX355)+AX357</f>
        <v>23369523.165056</v>
      </c>
      <c r="AY356" s="30" t="n">
        <f aca="false">SUM(AY348:AY355)+AY357</f>
        <v>19729517.667552</v>
      </c>
      <c r="AZ356" s="30" t="n">
        <f aca="false">SUM(AZ348:AZ355)+AZ357</f>
        <v>16304865.887544</v>
      </c>
      <c r="BA356" s="30" t="n">
        <f aca="false">SUM(BA348:BA355)+BA357</f>
        <v>13132422.71628</v>
      </c>
      <c r="BB356" s="30" t="n">
        <f aca="false">SUM(BB348:BB355)+BB357</f>
        <v>24841307.412456</v>
      </c>
      <c r="BC356" s="30" t="n">
        <f aca="false">SUM(BC348:BC355)+BC357</f>
        <v>22065854.53832</v>
      </c>
      <c r="BD356" s="30" t="n">
        <f aca="false">SUM(BD348:BD355)+BD357</f>
        <v>19418355.3782</v>
      </c>
      <c r="BE356" s="30" t="n">
        <f aca="false">SUM(BE348:BE355)+BE357</f>
        <v>16903635.711664</v>
      </c>
      <c r="BF356" s="30" t="n">
        <f aca="false">SUM(BF348:BF355)+BF357</f>
        <v>14522644.58668</v>
      </c>
      <c r="BG356" s="30" t="n">
        <f aca="false">SUM(BG348:BG355)+BG357</f>
        <v>12274311.511304</v>
      </c>
      <c r="BH356" s="30" t="n">
        <f aca="false">SUM(BH348:BH355)+BH357</f>
        <v>24759344.581472</v>
      </c>
      <c r="BI356" s="30" t="n">
        <f aca="false">SUM(BI348:BI355)+BI357</f>
        <v>23231535</v>
      </c>
      <c r="BJ356" s="30" t="n">
        <f aca="false">SUM(BJ348:BJ355)+BJ357</f>
        <v>21563325</v>
      </c>
      <c r="BK356" s="30" t="n">
        <f aca="false">SUM(BK348:BK355)+BK357</f>
        <v>19777695</v>
      </c>
      <c r="BL356" s="30" t="n">
        <f aca="false">SUM(BL348:BL355)+BL357</f>
        <v>17903445</v>
      </c>
      <c r="BM356" s="30" t="n">
        <f aca="false">SUM(BM348:BM355)+BM357</f>
        <v>15974055</v>
      </c>
      <c r="BN356" s="30" t="n">
        <f aca="false">SUM(BN348:BN355)+BN357</f>
        <v>14025945</v>
      </c>
      <c r="BO356" s="30" t="n">
        <f aca="false">SUM(BO348:BO355)+BO357</f>
        <v>12096555</v>
      </c>
      <c r="BP356" s="30" t="n">
        <f aca="false">SUM(BP348:BP355)+BP357</f>
        <v>10222305</v>
      </c>
      <c r="BQ356" s="30" t="n">
        <f aca="false">SUM(BQ348:BQ355)+BQ357</f>
        <v>8436675</v>
      </c>
      <c r="BR356" s="30" t="n">
        <f aca="false">SUM(BR348:BR355)+BR357</f>
        <v>6768465</v>
      </c>
      <c r="BS356" s="30" t="n">
        <f aca="false">SUM(BS348:BS355)+BS357</f>
        <v>5240490</v>
      </c>
      <c r="BT356" s="30" t="n">
        <f aca="false">SUM(BT348:BT355)+BT357</f>
        <v>3868680</v>
      </c>
      <c r="BU356" s="30" t="n">
        <f aca="false">SUM(BU348:BU355)+BU357</f>
        <v>2975850</v>
      </c>
      <c r="BV356" s="30" t="n">
        <f aca="false">SUM(BV348:BV355)+BV357</f>
        <v>2177580</v>
      </c>
      <c r="BW356" s="30" t="n">
        <f aca="false">SUM(BW348:BW355)+BW357</f>
        <v>1481400</v>
      </c>
      <c r="BX356" s="30" t="n">
        <f aca="false">SUM(BX348:BX355)+BX357</f>
        <v>889169.999999999</v>
      </c>
      <c r="BY356" s="30" t="n">
        <f aca="false">SUM(BY348:BY355)+BY357</f>
        <v>397755</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19385658.12674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17504879.6962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15715110.74851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14011943.942765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12387592.002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c r="K361" s="13" t="n">
        <f aca="false">Assumptions!B29</f>
        <v>1415971</v>
      </c>
      <c r="L361" s="13" t="n">
        <f aca="false">K369</f>
        <v>1735568.99033333</v>
      </c>
      <c r="M361" s="13" t="n">
        <f aca="false">L369</f>
        <v>1904953.10516667</v>
      </c>
      <c r="N361" s="13" t="n">
        <f aca="false">M369</f>
        <v>1835177.82653794</v>
      </c>
      <c r="O361" s="13" t="n">
        <f aca="false">N369</f>
        <v>925511.424671362</v>
      </c>
      <c r="P361" s="13" t="n">
        <f aca="false">O369</f>
        <v>1123876.27150911</v>
      </c>
      <c r="Q361" s="13" t="n">
        <f aca="false">P369</f>
        <v>1390898.90982781</v>
      </c>
      <c r="R361" s="13" t="n">
        <f aca="false">Q369</f>
        <v>1635906.57140012</v>
      </c>
      <c r="S361" s="13" t="n">
        <f aca="false">R369</f>
        <v>1590029.24666137</v>
      </c>
      <c r="T361" s="13" t="n">
        <f aca="false">S369</f>
        <v>1733836.58588397</v>
      </c>
      <c r="U361" s="13" t="n">
        <f aca="false">T369</f>
        <v>1444511.08129926</v>
      </c>
      <c r="V361" s="13" t="n">
        <f aca="false">U369</f>
        <v>2127042.29787957</v>
      </c>
      <c r="W361" s="13" t="n">
        <f aca="false">V369</f>
        <v>2755512.68735465</v>
      </c>
      <c r="X361" s="13" t="n">
        <f aca="false">W369</f>
        <v>3264392.47593278</v>
      </c>
      <c r="Y361" s="13" t="n">
        <f aca="false">X369</f>
        <v>3579868.48309259</v>
      </c>
      <c r="Z361" s="13" t="n">
        <f aca="false">Y369</f>
        <v>4355172.22052338</v>
      </c>
      <c r="AA361" s="13" t="n">
        <f aca="false">Z369</f>
        <v>5004129.23440418</v>
      </c>
      <c r="AB361" s="13" t="n">
        <f aca="false">AA369</f>
        <v>5844050.32778497</v>
      </c>
      <c r="AC361" s="13" t="n">
        <f aca="false">AB369</f>
        <v>6587045.40178754</v>
      </c>
      <c r="AD361" s="13" t="n">
        <f aca="false">AC369</f>
        <v>7170687.97502314</v>
      </c>
      <c r="AE361" s="13" t="n">
        <f aca="false">AD369</f>
        <v>7701796.36625873</v>
      </c>
      <c r="AF361" s="13" t="n">
        <f aca="false">AE369</f>
        <v>8248084.1014509</v>
      </c>
      <c r="AG361" s="13" t="n">
        <f aca="false">AF369</f>
        <v>8328467.79493867</v>
      </c>
      <c r="AH361" s="13" t="n">
        <f aca="false">AG369</f>
        <v>9208141.07021087</v>
      </c>
      <c r="AI361" s="13" t="n">
        <f aca="false">AH369</f>
        <v>10145274.0809488</v>
      </c>
      <c r="AJ361" s="13" t="n">
        <f aca="false">AI369</f>
        <v>11061774.189593</v>
      </c>
      <c r="AK361" s="13" t="n">
        <f aca="false">AJ369</f>
        <v>12026895.0798881</v>
      </c>
      <c r="AL361" s="13" t="n">
        <f aca="false">AK369</f>
        <v>12710766.7549105</v>
      </c>
      <c r="AM361" s="13" t="n">
        <f aca="false">AL369</f>
        <v>13352665.5974853</v>
      </c>
      <c r="AN361" s="13" t="n">
        <f aca="false">AM369</f>
        <v>14092958.1230601</v>
      </c>
      <c r="AO361" s="13" t="n">
        <f aca="false">AN369</f>
        <v>15242443.5516343</v>
      </c>
      <c r="AP361" s="13" t="n">
        <f aca="false">AO369</f>
        <v>16172521.121336</v>
      </c>
      <c r="AQ361" s="13" t="n">
        <f aca="false">AP369</f>
        <v>17004310.6670581</v>
      </c>
      <c r="AR361" s="13" t="n">
        <f aca="false">AQ369</f>
        <v>17448439.397897</v>
      </c>
      <c r="AS361" s="13" t="n">
        <f aca="false">AR369</f>
        <v>18309351.5265191</v>
      </c>
      <c r="AT361" s="13" t="n">
        <f aca="false">AS369</f>
        <v>19207763.6551413</v>
      </c>
      <c r="AU361" s="13" t="n">
        <f aca="false">AT369</f>
        <v>20128389.1599306</v>
      </c>
      <c r="AV361" s="13" t="n">
        <f aca="false">AU369</f>
        <v>21153470.9953981</v>
      </c>
      <c r="AW361" s="13" t="n">
        <f aca="false">AV369</f>
        <v>22417840.1360918</v>
      </c>
      <c r="AX361" s="13" t="n">
        <f aca="false">AW369</f>
        <v>23532345.8631544</v>
      </c>
      <c r="AY361" s="13" t="n">
        <f aca="false">AX369</f>
        <v>24242087.3162662</v>
      </c>
      <c r="AZ361" s="13" t="n">
        <f aca="false">AY369</f>
        <v>24981758.9157996</v>
      </c>
      <c r="BA361" s="13" t="n">
        <f aca="false">AZ369</f>
        <v>25829809.7853636</v>
      </c>
      <c r="BB361" s="13" t="n">
        <f aca="false">BA369</f>
        <v>26620742.5343926</v>
      </c>
      <c r="BC361" s="13" t="n">
        <f aca="false">BB369</f>
        <v>27395435.3724196</v>
      </c>
      <c r="BD361" s="13" t="n">
        <f aca="false">BC369</f>
        <v>27947223.831804</v>
      </c>
      <c r="BE361" s="13" t="n">
        <f aca="false">BD369</f>
        <v>28772449.5252607</v>
      </c>
      <c r="BF361" s="13" t="n">
        <f aca="false">BE369</f>
        <v>29596113.3630922</v>
      </c>
      <c r="BG361" s="13" t="n">
        <f aca="false">BF369</f>
        <v>30457414.9503964</v>
      </c>
      <c r="BH361" s="13" t="n">
        <f aca="false">BG369</f>
        <v>31281424.7942217</v>
      </c>
      <c r="BI361" s="13" t="n">
        <f aca="false">BH369</f>
        <v>32340483.1571689</v>
      </c>
      <c r="BJ361" s="13" t="n">
        <f aca="false">BI369</f>
        <v>33196782.0636631</v>
      </c>
      <c r="BK361" s="13" t="n">
        <f aca="false">BJ369</f>
        <v>33802021.3053118</v>
      </c>
      <c r="BL361" s="13" t="n">
        <f aca="false">BK369</f>
        <v>34229725.4727296</v>
      </c>
      <c r="BM361" s="13" t="n">
        <f aca="false">BL369</f>
        <v>34667429.6401474</v>
      </c>
      <c r="BN361" s="13" t="n">
        <f aca="false">BM369</f>
        <v>35115567.0644898</v>
      </c>
      <c r="BO361" s="13" t="n">
        <f aca="false">BN369</f>
        <v>35705159.3859688</v>
      </c>
      <c r="BP361" s="13" t="n">
        <f aca="false">BO369</f>
        <v>36170717.8699952</v>
      </c>
      <c r="BQ361" s="13" t="n">
        <f aca="false">BP369</f>
        <v>36503336.3884146</v>
      </c>
      <c r="BR361" s="13" t="n">
        <f aca="false">BQ369</f>
        <v>36861190.4380417</v>
      </c>
      <c r="BS361" s="13" t="n">
        <f aca="false">BR369</f>
        <v>37264027.8019026</v>
      </c>
      <c r="BT361" s="13" t="n">
        <f aca="false">BS369</f>
        <v>37751400.0689952</v>
      </c>
      <c r="BU361" s="13" t="n">
        <f aca="false">BT369</f>
        <v>38189349.7297409</v>
      </c>
      <c r="BV361" s="13" t="n">
        <f aca="false">BU369</f>
        <v>38527650.1012085</v>
      </c>
      <c r="BW361" s="13" t="n">
        <f aca="false">BV369</f>
        <v>38794569.039338</v>
      </c>
      <c r="BX361" s="13" t="n">
        <f aca="false">BW369</f>
        <v>39012187.1502016</v>
      </c>
      <c r="BY361" s="13" t="n">
        <f aca="false">BX369</f>
        <v>39117381.0590936</v>
      </c>
      <c r="BZ361" s="13" t="n">
        <f aca="false">BY369</f>
        <v>39134134.6982317</v>
      </c>
      <c r="CA361" s="13" t="n">
        <f aca="false">BZ369</f>
        <v>39104443.8212035</v>
      </c>
      <c r="CB361" s="13" t="n">
        <f aca="false">CA369</f>
        <v>38867078.4691752</v>
      </c>
      <c r="CC361" s="13" t="n">
        <f aca="false">CB369</f>
        <v>38449126.617147</v>
      </c>
      <c r="CD361" s="13" t="n">
        <f aca="false">CC369</f>
        <v>38031174.7651188</v>
      </c>
      <c r="CE361" s="13" t="n">
        <f aca="false">CD369</f>
        <v>37613222.9130905</v>
      </c>
      <c r="CF361" s="13" t="n">
        <f aca="false">CE369</f>
        <v>37195271.0610623</v>
      </c>
      <c r="CG361" s="13" t="n">
        <f aca="false">CF369</f>
        <v>36777319.2090341</v>
      </c>
      <c r="CH361" s="13" t="n">
        <f aca="false">CG369</f>
        <v>36359367.3570058</v>
      </c>
      <c r="CI361" s="13" t="n">
        <f aca="false">CH369</f>
        <v>35941415.5049776</v>
      </c>
      <c r="CJ361" s="13" t="n">
        <f aca="false">CI369</f>
        <v>35523463.6529494</v>
      </c>
      <c r="CK361" s="13" t="n">
        <f aca="false">CJ369</f>
        <v>35105511.8009211</v>
      </c>
      <c r="CL361" s="13" t="n">
        <f aca="false">CK369</f>
        <v>34679500.9118523</v>
      </c>
      <c r="CM361" s="13" t="n">
        <f aca="false">CL369</f>
        <v>34253490.0227835</v>
      </c>
      <c r="CN361" s="13" t="n">
        <f aca="false">CM369</f>
        <v>33827479.1337147</v>
      </c>
      <c r="CO361" s="13" t="n">
        <f aca="false">CN369</f>
        <v>33401468.2446459</v>
      </c>
      <c r="CP361" s="13" t="n">
        <f aca="false">CO369</f>
        <v>32975457.3555771</v>
      </c>
      <c r="CQ361" s="13" t="n">
        <f aca="false">CP369</f>
        <v>32549446.4665083</v>
      </c>
      <c r="CR361" s="13" t="n">
        <f aca="false">CQ369</f>
        <v>32123435.5774395</v>
      </c>
      <c r="CS361" s="13" t="n">
        <f aca="false">CR369</f>
        <v>31697424.6883707</v>
      </c>
      <c r="CT361" s="13" t="n">
        <f aca="false">CS369</f>
        <v>31271413.7993019</v>
      </c>
      <c r="CU361" s="13" t="n">
        <f aca="false">CT369</f>
        <v>30885755.7242751</v>
      </c>
      <c r="CV361" s="13" t="n">
        <f aca="false">CU369</f>
        <v>30500097.6492483</v>
      </c>
      <c r="CW361" s="13" t="n">
        <f aca="false">CV369</f>
        <v>30114439.5742216</v>
      </c>
      <c r="CX361" s="13" t="n">
        <f aca="false">CW369</f>
        <v>29721368.3376943</v>
      </c>
      <c r="CY361" s="13" t="n">
        <f aca="false">CX369</f>
        <v>29328297.1011669</v>
      </c>
      <c r="CZ361" s="13" t="n">
        <f aca="false">CY369</f>
        <v>28935225.8646396</v>
      </c>
      <c r="DA361" s="13" t="n">
        <f aca="false">CZ369</f>
        <v>28542154.6281123</v>
      </c>
      <c r="DB361" s="13" t="n">
        <f aca="false">DA369</f>
        <v>28149083.391585</v>
      </c>
      <c r="DC361" s="13" t="n">
        <f aca="false">DB369</f>
        <v>27756012.1550577</v>
      </c>
      <c r="DD361" s="13" t="n">
        <f aca="false">DC369</f>
        <v>27362940.9185304</v>
      </c>
      <c r="DE361" s="13" t="n">
        <f aca="false">DD369</f>
        <v>26969869.6820031</v>
      </c>
    </row>
    <row r="362" customFormat="false" ht="15" hidden="false" customHeight="true" outlineLevel="0" collapsed="false">
      <c r="A362" s="22" t="s">
        <v>186</v>
      </c>
      <c r="B362" s="13"/>
      <c r="C362" s="13"/>
      <c r="D362" s="13"/>
      <c r="E362" s="13"/>
      <c r="F362" s="13"/>
      <c r="G362" s="13"/>
      <c r="H362" s="13"/>
      <c r="I362" s="13"/>
      <c r="J362" s="13"/>
      <c r="K362" s="13" t="n">
        <f aca="false">K237</f>
        <v>120153.790333334</v>
      </c>
      <c r="L362" s="13" t="n">
        <f aca="false">L237</f>
        <v>61434.3503333338</v>
      </c>
      <c r="M362" s="13" t="n">
        <f aca="false">M237</f>
        <v>-225667.840610259</v>
      </c>
      <c r="N362" s="13" t="n">
        <f aca="false">N237</f>
        <v>325058.212959785</v>
      </c>
      <c r="O362" s="13" t="n">
        <f aca="false">O237</f>
        <v>269645.479440736</v>
      </c>
      <c r="P362" s="13" t="n">
        <f aca="false">P237</f>
        <v>328995.099440735</v>
      </c>
      <c r="Q362" s="13" t="n">
        <f aca="false">Q237</f>
        <v>53870.9303394508</v>
      </c>
      <c r="R362" s="13" t="n">
        <f aca="false">R237</f>
        <v>188096.243503671</v>
      </c>
      <c r="S362" s="13" t="n">
        <f aca="false">S237</f>
        <v>-244907.432303641</v>
      </c>
      <c r="T362" s="13" t="n">
        <f aca="false">T237</f>
        <v>659633.228361382</v>
      </c>
      <c r="U362" s="13" t="n">
        <f aca="false">U237</f>
        <v>555931.168361385</v>
      </c>
      <c r="V362" s="13" t="n">
        <f aca="false">V237</f>
        <v>475403.547079433</v>
      </c>
      <c r="W362" s="13" t="n">
        <f aca="false">W237</f>
        <v>387853.546904062</v>
      </c>
      <c r="X362" s="13" t="n">
        <f aca="false">X237</f>
        <v>900673.187625049</v>
      </c>
      <c r="Y362" s="13" t="n">
        <f aca="false">Y237</f>
        <v>654580.441175046</v>
      </c>
      <c r="Z362" s="13" t="n">
        <f aca="false">Z237</f>
        <v>817073.267625048</v>
      </c>
      <c r="AA362" s="13" t="n">
        <f aca="false">AA237</f>
        <v>726906.327625042</v>
      </c>
      <c r="AB362" s="13" t="n">
        <f aca="false">AB237</f>
        <v>697123.957625047</v>
      </c>
      <c r="AC362" s="13" t="n">
        <f aca="false">AC237</f>
        <v>544992.809479849</v>
      </c>
      <c r="AD362" s="13" t="n">
        <f aca="false">AD237</f>
        <v>612558.849479846</v>
      </c>
      <c r="AE362" s="13" t="n">
        <f aca="false">AE237</f>
        <v>28428.8273927256</v>
      </c>
      <c r="AF362" s="13" t="n">
        <f aca="false">AF237</f>
        <v>919686.297067048</v>
      </c>
      <c r="AG362" s="13" t="n">
        <f aca="false">AG237</f>
        <v>940000.562610692</v>
      </c>
      <c r="AH362" s="13" t="n">
        <f aca="false">AH237</f>
        <v>989346.337285542</v>
      </c>
      <c r="AI362" s="13" t="n">
        <f aca="false">AI237</f>
        <v>841391.919921116</v>
      </c>
      <c r="AJ362" s="13" t="n">
        <f aca="false">AJ237</f>
        <v>750233.195731899</v>
      </c>
      <c r="AK362" s="13" t="n">
        <f aca="false">AK237</f>
        <v>713533.561284228</v>
      </c>
      <c r="AL362" s="13" t="n">
        <f aca="false">AL237</f>
        <v>817897.521284229</v>
      </c>
      <c r="AM362" s="13" t="n">
        <f aca="false">AM237</f>
        <v>937932.461284225</v>
      </c>
      <c r="AN362" s="13" t="n">
        <f aca="false">AN237</f>
        <v>956779.188388977</v>
      </c>
      <c r="AO362" s="13" t="n">
        <f aca="false">AO237</f>
        <v>889315.308211374</v>
      </c>
      <c r="AP362" s="13" t="n">
        <f aca="false">AP237</f>
        <v>532794.155828123</v>
      </c>
      <c r="AQ362" s="13" t="n">
        <f aca="false">AQ237</f>
        <v>934577.553611374</v>
      </c>
      <c r="AR362" s="13" t="n">
        <f aca="false">AR237</f>
        <v>942077.553611374</v>
      </c>
      <c r="AS362" s="13" t="n">
        <f aca="false">AS237</f>
        <v>979577.553611374</v>
      </c>
      <c r="AT362" s="13" t="n">
        <f aca="false">AT237</f>
        <v>1007208.52477856</v>
      </c>
      <c r="AU362" s="13" t="n">
        <f aca="false">AU237</f>
        <v>1005427.72286888</v>
      </c>
      <c r="AV362" s="13" t="n">
        <f aca="false">AV237</f>
        <v>1178093.98410596</v>
      </c>
      <c r="AW362" s="13" t="n">
        <f aca="false">AW237</f>
        <v>740534.194695242</v>
      </c>
      <c r="AX362" s="13" t="n">
        <f aca="false">AX237</f>
        <v>780829.710155242</v>
      </c>
      <c r="AY362" s="13" t="n">
        <f aca="false">AY237</f>
        <v>816177.451576828</v>
      </c>
      <c r="AZ362" s="13" t="n">
        <f aca="false">AZ237</f>
        <v>797243.23910746</v>
      </c>
      <c r="BA362" s="13" t="n">
        <f aca="false">BA237</f>
        <v>757280.836072369</v>
      </c>
      <c r="BB362" s="13" t="n">
        <f aca="false">BB237</f>
        <v>493274.451917796</v>
      </c>
      <c r="BC362" s="13" t="n">
        <f aca="false">BC237</f>
        <v>802020.319580453</v>
      </c>
      <c r="BD362" s="13" t="n">
        <f aca="false">BD237</f>
        <v>828594.013000184</v>
      </c>
      <c r="BE362" s="13" t="n">
        <f aca="false">BE237</f>
        <v>809876.439874913</v>
      </c>
      <c r="BF362" s="13" t="n">
        <f aca="false">BF237</f>
        <v>809591.024347656</v>
      </c>
      <c r="BG362" s="13" t="n">
        <f aca="false">BG237</f>
        <v>827378.163368701</v>
      </c>
      <c r="BH362" s="13" t="n">
        <f aca="false">BH237</f>
        <v>791892.655590721</v>
      </c>
      <c r="BI362" s="13" t="n">
        <f aca="false">BI237</f>
        <v>561126.656222759</v>
      </c>
      <c r="BJ362" s="13" t="n">
        <f aca="false">BJ237</f>
        <v>477925.75914863</v>
      </c>
      <c r="BK362" s="13" t="n">
        <f aca="false">BK237</f>
        <v>480977.184917829</v>
      </c>
      <c r="BL362" s="13" t="n">
        <f aca="false">BL237</f>
        <v>490977.184917829</v>
      </c>
      <c r="BM362" s="13" t="n">
        <f aca="false">BM237</f>
        <v>506828.036842435</v>
      </c>
      <c r="BN362" s="13" t="n">
        <f aca="false">BN237</f>
        <v>425258.606478968</v>
      </c>
      <c r="BO362" s="13" t="n">
        <f aca="false">BO237</f>
        <v>328312.744026334</v>
      </c>
      <c r="BP362" s="13" t="n">
        <f aca="false">BP237</f>
        <v>375959.278419462</v>
      </c>
      <c r="BQ362" s="13" t="n">
        <f aca="false">BQ237</f>
        <v>401194.809627123</v>
      </c>
      <c r="BR362" s="13" t="n">
        <f aca="false">BR237</f>
        <v>450692.786360862</v>
      </c>
      <c r="BS362" s="13" t="n">
        <f aca="false">BS237</f>
        <v>351029.45959257</v>
      </c>
      <c r="BT362" s="13" t="n">
        <f aca="false">BT237</f>
        <v>259169.025745756</v>
      </c>
      <c r="BU362" s="13" t="n">
        <f aca="false">BU237</f>
        <v>191122.373967589</v>
      </c>
      <c r="BV362" s="13" t="n">
        <f aca="false">BV237</f>
        <v>116129.210629482</v>
      </c>
      <c r="BW362" s="13" t="n">
        <f aca="false">BW237</f>
        <v>24390.5558635888</v>
      </c>
      <c r="BX362" s="13" t="n">
        <f aca="false">BX237</f>
        <v>-56431.0086079562</v>
      </c>
      <c r="BY362" s="13" t="n">
        <f aca="false">BY237</f>
        <v>-148483.008361919</v>
      </c>
      <c r="BZ362" s="13" t="n">
        <f aca="false">BZ237</f>
        <v>-237365.352028238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c r="K364" s="13" t="n">
        <f aca="false">-9427488+'Bonding Program'!$H$8+IF(K$3='Bonding Program'!$H$9,-'Bonding Program'!$H$7,0)</f>
        <v>-8734611.11</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191045.270943593</v>
      </c>
      <c r="N365" s="13" t="n">
        <f aca="false">M199-N199-M197-IF(M$3&lt;7,0,-SUMPRODUCT('Deal Terms'!$E$4:$E$47*('Deal Terms'!$G$4:$G$47=0),M$13:M$56+M$60:M$103))</f>
        <v>-500307.756903378</v>
      </c>
      <c r="O365" s="13" t="n">
        <f aca="false">N199-O199-N197-IF(N$3&lt;7,0,-SUMPRODUCT('Deal Terms'!$E$4:$E$47*('Deal Terms'!$G$4:$G$47=0),N$13:N$56+N$60:N$103))</f>
        <v>-28806.9764809511</v>
      </c>
      <c r="P365" s="13" t="n">
        <f aca="false">O199-P199-O197-IF(O$3&lt;7,0,-SUMPRODUCT('Deal Terms'!$E$4:$E$47*('Deal Terms'!$G$4:$G$47=0),O$13:O$56+O$60:O$103))</f>
        <v>-18031.5600000001</v>
      </c>
      <c r="Q365" s="13" t="n">
        <f aca="false">P199-Q199-P197-IF(P$3&lt;7,0,-SUMPRODUCT('Deal Terms'!$E$4:$E$47*('Deal Terms'!$G$4:$G$47=0),P$13:P$56+P$60:P$103))</f>
        <v>239250.914841285</v>
      </c>
      <c r="R365" s="13" t="n">
        <f aca="false">Q199-R199-Q197-IF(Q$3&lt;7,0,-SUMPRODUCT('Deal Terms'!$E$4:$E$47*('Deal Terms'!$G$4:$G$47=0),Q$13:Q$56+Q$60:Q$103))</f>
        <v>-183650.08816422</v>
      </c>
      <c r="S365" s="13" t="n">
        <f aca="false">R199-S199-R197-IF(R$3&lt;7,0,-SUMPRODUCT('Deal Terms'!$E$4:$E$47*('Deal Terms'!$G$4:$G$47=0),R$13:R$56+R$60:R$103))</f>
        <v>417653.500807314</v>
      </c>
      <c r="T365" s="13" t="n">
        <f aca="false">S199-T199-S197-IF(S$3&lt;7,0,-SUMPRODUCT('Deal Terms'!$E$4:$E$47*('Deal Terms'!$G$4:$G$47=0),S$13:S$56+S$60:S$103))</f>
        <v>-884906.770665024</v>
      </c>
      <c r="U365" s="13" t="n">
        <f aca="false">T199-U199-T197-IF(T$3&lt;7,0,-SUMPRODUCT('Deal Terms'!$E$4:$E$47*('Deal Terms'!$G$4:$G$47=0),T$13:T$56+T$60:T$103))</f>
        <v>104349.459999997</v>
      </c>
      <c r="V365" s="13" t="n">
        <f aca="false">U199-V199-U197-IF(U$3&lt;7,0,-SUMPRODUCT('Deal Terms'!$E$4:$E$47*('Deal Terms'!$G$4:$G$47=0),U$13:U$56+U$60:U$103))</f>
        <v>81033.4312819517</v>
      </c>
      <c r="W365" s="13" t="n">
        <f aca="false">V199-W199-V197-IF(V$3&lt;7,0,-SUMPRODUCT('Deal Terms'!$E$4:$E$47*('Deal Terms'!$G$4:$G$47=0),V$13:V$56+V$60:V$103))</f>
        <v>88459.9001753718</v>
      </c>
      <c r="X365" s="13" t="n">
        <f aca="false">W199-X199-W197-IF(W$3&lt;7,0,-SUMPRODUCT('Deal Terms'!$E$4:$E$47*('Deal Terms'!$G$4:$G$47=0),W$13:W$56+W$60:W$103))</f>
        <v>-512177.750720985</v>
      </c>
      <c r="Y365" s="13" t="n">
        <f aca="false">X199-Y199-X197-IF(X$3&lt;7,0,-SUMPRODUCT('Deal Terms'!$E$4:$E$47*('Deal Terms'!$G$4:$G$47=0),X$13:X$56+X$60:X$103))</f>
        <v>184566.380000001</v>
      </c>
      <c r="Z365" s="13" t="n">
        <f aca="false">Y199-Z199-Y197-IF(Y$3&lt;7,0,-SUMPRODUCT('Deal Terms'!$E$4:$E$47*('Deal Terms'!$G$4:$G$47=0),Y$13:Y$56+Y$60:Y$103))</f>
        <v>-99276.8200000022</v>
      </c>
      <c r="AA365" s="13" t="n">
        <f aca="false">Z199-AA199-Z197-IF(Z$3&lt;7,0,-SUMPRODUCT('Deal Terms'!$E$4:$E$47*('Deal Terms'!$G$4:$G$47=0),Z$13:Z$56+Z$60:Z$103))</f>
        <v>91062.1600000039</v>
      </c>
      <c r="AB365" s="13" t="n">
        <f aca="false">AA199-AB199-AA197-IF(AA$3&lt;7,0,-SUMPRODUCT('Deal Terms'!$E$4:$E$47*('Deal Terms'!$G$4:$G$47=0),AA$13:AA$56+AA$60:AA$103))</f>
        <v>30496.3999999985</v>
      </c>
      <c r="AC365" s="13" t="n">
        <f aca="false">AB199-AC199-AB197-IF(AB$3&lt;7,0,-SUMPRODUCT('Deal Terms'!$E$4:$E$47*('Deal Terms'!$G$4:$G$47=0),AB$13:AB$56+AB$60:AB$103))</f>
        <v>96679.8899999987</v>
      </c>
      <c r="AD365" s="13" t="n">
        <f aca="false">AC199-AD199-AC197-IF(AC$3&lt;7,0,-SUMPRODUCT('Deal Terms'!$E$4:$E$47*('Deal Terms'!$G$4:$G$47=0),AC$13:AC$56+AC$60:AC$103))</f>
        <v>-22292.0299999993</v>
      </c>
      <c r="AE365" s="13" t="n">
        <f aca="false">AD199-AE199-AD197-IF(AD$3&lt;7,0,-SUMPRODUCT('Deal Terms'!$E$4:$E$47*('Deal Terms'!$G$4:$G$47=0),AD$13:AD$56+AD$60:AD$103))</f>
        <v>584454.502087121</v>
      </c>
      <c r="AF365" s="13" t="n">
        <f aca="false">AE199-AF199-AE197-IF(AE$3&lt;7,0,-SUMPRODUCT('Deal Terms'!$E$4:$E$47*('Deal Terms'!$G$4:$G$47=0),AE$13:AE$56+AE$60:AE$103))</f>
        <v>-890952.929674319</v>
      </c>
      <c r="AG365" s="13" t="n">
        <f aca="false">AF199-AG199-AF197-IF(AF$3&lt;7,0,-SUMPRODUCT('Deal Terms'!$E$4:$E$47*('Deal Terms'!$G$4:$G$47=0),AF$13:AF$56+AF$60:AF$103))</f>
        <v>-41374.8030436467</v>
      </c>
      <c r="AH365" s="13" t="n">
        <f aca="false">AG199-AH199-AG197-IF(AG$3&lt;7,0,-SUMPRODUCT('Deal Terms'!$E$4:$E$47*('Deal Terms'!$G$4:$G$47=0),AG$13:AG$56+AG$60:AG$103))</f>
        <v>-84316.7746748496</v>
      </c>
      <c r="AI365" s="13" t="n">
        <f aca="false">AH199-AI199-AH197-IF(AH$3&lt;7,0,-SUMPRODUCT('Deal Terms'!$E$4:$E$47*('Deal Terms'!$G$4:$G$47=0),AH$13:AH$56+AH$60:AH$103))</f>
        <v>148561.377364427</v>
      </c>
      <c r="AJ365" s="13" t="n">
        <f aca="false">AI199-AJ199-AI197-IF(AI$3&lt;7,0,-SUMPRODUCT('Deal Terms'!$E$4:$E$47*('Deal Terms'!$G$4:$G$47=0),AI$13:AI$56+AI$60:AI$103))</f>
        <v>99252.1241892118</v>
      </c>
      <c r="AK365" s="13" t="n">
        <f aca="false">AJ199-AK199-AJ197-IF(AJ$3&lt;7,0,-SUMPRODUCT('Deal Terms'!$E$4:$E$47*('Deal Terms'!$G$4:$G$47=0),AJ$13:AJ$56+AJ$60:AJ$103))</f>
        <v>37023.3844476745</v>
      </c>
      <c r="AL365" s="13" t="n">
        <f aca="false">AK199-AL199-AK197-IF(AK$3&lt;7,0,-SUMPRODUCT('Deal Terms'!$E$4:$E$47*('Deal Terms'!$G$4:$G$47=0),AK$13:AK$56+AK$60:AK$103))</f>
        <v>-104095.210000001</v>
      </c>
      <c r="AM365" s="13" t="n">
        <f aca="false">AL199-AM199-AL197-IF(AL$3&lt;7,0,-SUMPRODUCT('Deal Terms'!$E$4:$E$47*('Deal Terms'!$G$4:$G$47=0),AL$13:AL$56+AL$60:AL$103))</f>
        <v>-119734.719999997</v>
      </c>
      <c r="AN365" s="13" t="n">
        <f aca="false">AM199-AN199-AM197-IF(AM$3&lt;7,0,-SUMPRODUCT('Deal Terms'!$E$4:$E$47*('Deal Terms'!$G$4:$G$47=0),AM$13:AM$56+AM$60:AM$103))</f>
        <v>-68894.6521047503</v>
      </c>
      <c r="AO365" s="13" t="n">
        <f aca="false">AN199-AO199-AN197-IF(AN$3&lt;7,0,-SUMPRODUCT('Deal Terms'!$E$4:$E$47*('Deal Terms'!$G$4:$G$47=0),AN$13:AN$56+AN$60:AN$103))</f>
        <v>37741.871909501</v>
      </c>
      <c r="AP365" s="13" t="n">
        <f aca="false">AO199-AP199-AO197-IF(AO$3&lt;7,0,-SUMPRODUCT('Deal Terms'!$E$4:$E$47*('Deal Terms'!$G$4:$G$47=0),AO$13:AO$56+AO$60:AO$103))</f>
        <v>375646.152383251</v>
      </c>
      <c r="AQ365" s="13" t="n">
        <f aca="false">AP199-AQ199-AP197-IF(AP$3&lt;7,0,-SUMPRODUCT('Deal Terms'!$E$4:$E$47*('Deal Terms'!$G$4:$G$47=0),AP$13:AP$56+AP$60:AP$103))</f>
        <v>-409283.397783251</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-108351.899999999</v>
      </c>
      <c r="AU365" s="13" t="n">
        <f aca="false">AT199-AU199-AT197-IF(AT$3&lt;7,0,-SUMPRODUCT('Deal Terms'!$E$4:$E$47*('Deal Terms'!$G$4:$G$47=0),AT$13:AT$56+AT$60:AT$103))</f>
        <v>-42295.3482428398</v>
      </c>
      <c r="AV365" s="13" t="n">
        <f aca="false">AU199-AV199-AU197-IF(AU$3&lt;7,0,-SUMPRODUCT('Deal Terms'!$E$4:$E$47*('Deal Terms'!$G$4:$G$47=0),AU$13:AU$56+AU$60:AU$103))</f>
        <v>-92869.1822517458</v>
      </c>
      <c r="AW365" s="13" t="n">
        <f aca="false">AV199-AW199-AV197-IF(AV$3&lt;7,0,-SUMPRODUCT('Deal Terms'!$E$4:$E$47*('Deal Terms'!$G$4:$G$47=0),AV$13:AV$56+AV$60:AV$103))</f>
        <v>445059.789410716</v>
      </c>
      <c r="AX365" s="13" t="n">
        <f aca="false">AW199-AX199-AW197-IF(AW$3&lt;7,0,-SUMPRODUCT('Deal Terms'!$E$4:$E$47*('Deal Terms'!$G$4:$G$47=0),AW$13:AW$56+AW$60:AW$103))</f>
        <v>0</v>
      </c>
      <c r="AY365" s="13" t="n">
        <f aca="false">AX199-AY199-AX197-IF(AX$3&lt;7,0,-SUMPRODUCT('Deal Terms'!$E$4:$E$47*('Deal Terms'!$G$4:$G$47=0),AX$13:AX$56+AX$60:AX$103))</f>
        <v>-108351.9</v>
      </c>
      <c r="AZ365" s="13" t="n">
        <f aca="false">AY199-AZ199-AY197-IF(AY$3&lt;7,0,-SUMPRODUCT('Deal Terms'!$E$4:$E$47*('Deal Terms'!$G$4:$G$47=0),AY$13:AY$56+AY$60:AY$103))</f>
        <v>18058.6500000004</v>
      </c>
      <c r="BA365" s="13" t="n">
        <f aca="false">AZ199-BA199-AZ197-IF(AZ$3&lt;7,0,-SUMPRODUCT('Deal Terms'!$E$4:$E$47*('Deal Terms'!$G$4:$G$47=0),AZ$13:AZ$56+AZ$60:AZ$103))</f>
        <v>18058.6500000004</v>
      </c>
      <c r="BB365" s="13" t="n">
        <f aca="false">BA199-BB199-BA197-IF(BA$3&lt;7,0,-SUMPRODUCT('Deal Terms'!$E$4:$E$47*('Deal Terms'!$G$4:$G$47=0),BA$13:BA$56+BA$60:BA$103))</f>
        <v>265825.123152709</v>
      </c>
      <c r="BC365" s="13" t="n">
        <f aca="false">BB199-BC199-BB197-IF(BB$3&lt;7,0,-SUMPRODUCT('Deal Terms'!$E$4:$E$47*('Deal Terms'!$G$4:$G$47=0),BB$13:BB$56+BB$60:BB$103))</f>
        <v>-265825.123152709</v>
      </c>
      <c r="BD365" s="13" t="n">
        <f aca="false">BC199-BD199-BC197-IF(BC$3&lt;7,0,-SUMPRODUCT('Deal Terms'!$E$4:$E$47*('Deal Terms'!$G$4:$G$47=0),BC$13:BC$56+BC$60:BC$103))</f>
        <v>-18058.6500000004</v>
      </c>
      <c r="BE365" s="13" t="n">
        <f aca="false">BD199-BE199-BD197-IF(BD$3&lt;7,0,-SUMPRODUCT('Deal Terms'!$E$4:$E$47*('Deal Terms'!$G$4:$G$47=0),BD$13:BD$56+BD$60:BD$103))</f>
        <v>-18058.6500000004</v>
      </c>
      <c r="BF365" s="13" t="n">
        <f aca="false">BE199-BF199-BE197-IF(BE$3&lt;7,0,-SUMPRODUCT('Deal Terms'!$E$4:$E$47*('Deal Terms'!$G$4:$G$47=0),BE$13:BE$56+BE$60:BE$103))</f>
        <v>36117.3000000007</v>
      </c>
      <c r="BG365" s="13" t="n">
        <f aca="false">BF199-BG199-BF197-IF(BF$3&lt;7,0,-SUMPRODUCT('Deal Terms'!$E$4:$E$47*('Deal Terms'!$G$4:$G$47=0),BF$13:BF$56+BF$60:BF$103))</f>
        <v>-18058.6500000004</v>
      </c>
      <c r="BH365" s="13" t="n">
        <f aca="false">BG199-BH199-BG197-IF(BG$3&lt;7,0,-SUMPRODUCT('Deal Terms'!$E$4:$E$47*('Deal Terms'!$G$4:$G$47=0),BG$13:BG$56+BG$60:BG$103))</f>
        <v>-1169.80190289137</v>
      </c>
      <c r="BI365" s="13" t="n">
        <f aca="false">BH199-BI199-BH197-IF(BH$3&lt;7,0,-SUMPRODUCT('Deal Terms'!$E$4:$E$47*('Deal Terms'!$G$4:$G$47=0),BH$13:BH$56+BH$60:BH$103))</f>
        <v>267181.342771438</v>
      </c>
      <c r="BJ365" s="13" t="n">
        <f aca="false">BI199-BJ199-BI197-IF(BI$3&lt;7,0,-SUMPRODUCT('Deal Terms'!$E$4:$E$47*('Deal Terms'!$G$4:$G$47=0),BI$13:BI$56+BI$60:BI$103))</f>
        <v>180586.5</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-108351.9</v>
      </c>
      <c r="BN365" s="13" t="n">
        <f aca="false">BM199-BN199-BM197-IF(BM$3&lt;7,0,-SUMPRODUCT('Deal Terms'!$E$4:$E$47*('Deal Terms'!$G$4:$G$47=0),BM$13:BM$56+BM$60:BM$103))</f>
        <v>126410.550000001</v>
      </c>
      <c r="BO365" s="13" t="n">
        <f aca="false">BN199-BO199-BN197-IF(BN$3&lt;7,0,-SUMPRODUCT('Deal Terms'!$E$4:$E$47*('Deal Terms'!$G$4:$G$47=0),BN$13:BN$56+BN$60:BN$103))</f>
        <v>180586.5</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-90293.25</v>
      </c>
      <c r="BS365" s="13" t="n">
        <f aca="false">BR199-BS199-BR197-IF(BR$3&lt;7,0,-SUMPRODUCT('Deal Terms'!$E$4:$E$47*('Deal Terms'!$G$4:$G$47=0),BR$13:BR$56+BR$60:BR$103))</f>
        <v>72234.6000000006</v>
      </c>
      <c r="BT365" s="13" t="n">
        <f aca="false">BS199-BT199-BS197-IF(BS$3&lt;7,0,-SUMPRODUCT('Deal Terms'!$E$4:$E$47*('Deal Terms'!$G$4:$G$47=0),BS$13:BS$56+BS$60:BS$103))</f>
        <v>126410.55</v>
      </c>
      <c r="BU365" s="13" t="n">
        <f aca="false">BT199-BU199-BT197-IF(BT$3&lt;7,0,-SUMPRODUCT('Deal Terms'!$E$4:$E$47*('Deal Terms'!$G$4:$G$47=0),BT$13:BT$56+BT$60:BT$103))</f>
        <v>90293.25</v>
      </c>
      <c r="BV365" s="13" t="n">
        <f aca="false">BU199-BV199-BU197-IF(BU$3&lt;7,0,-SUMPRODUCT('Deal Terms'!$E$4:$E$47*('Deal Terms'!$G$4:$G$47=0),BU$13:BU$56+BU$60:BU$103))</f>
        <v>72234.5999999996</v>
      </c>
      <c r="BW365" s="13" t="n">
        <f aca="false">BV199-BW199-BV197-IF(BV$3&lt;7,0,-SUMPRODUCT('Deal Terms'!$E$4:$E$47*('Deal Terms'!$G$4:$G$47=0),BV$13:BV$56+BV$60:BV$103))</f>
        <v>126410.55</v>
      </c>
      <c r="BX365" s="13" t="n">
        <f aca="false">BW199-BX199-BW197-IF(BW$3&lt;7,0,-SUMPRODUCT('Deal Terms'!$E$4:$E$47*('Deal Terms'!$G$4:$G$47=0),BW$13:BW$56+BW$60:BW$103))</f>
        <v>90293.25</v>
      </c>
      <c r="BY365" s="13" t="n">
        <f aca="false">BX199-BY199-BX197-IF(BX$3&lt;7,0,-SUMPRODUCT('Deal Terms'!$E$4:$E$47*('Deal Terms'!$G$4:$G$47=0),BX$13:BX$56+BX$60:BX$103))</f>
        <v>72234.5999999999</v>
      </c>
      <c r="BZ365" s="13" t="n">
        <f aca="false">BY199-BZ199-BY197-IF(BY$3&lt;7,0,-SUMPRODUCT('Deal Terms'!$E$4:$E$47*('Deal Terms'!$G$4:$G$47=0),BY$13:BY$56+BY$60:BY$103))</f>
        <v>126410.55</v>
      </c>
      <c r="CA365" s="13" t="n">
        <f aca="false">BZ199-CA199-BZ197-IF(BZ$3&lt;7,0,-SUMPRODUCT('Deal Terms'!$E$4:$E$47*('Deal Terms'!$G$4:$G$47=0),BZ$13:BZ$56+BZ$60:BZ$103))</f>
        <v>180586.5</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c r="K367" s="13" t="n">
        <f aca="false">-0.05*(K10+K11)</f>
        <v>-35137.27</v>
      </c>
      <c r="L367" s="13" t="n">
        <f aca="false">-0.05*(L10+L11)</f>
        <v>-28437.9935</v>
      </c>
      <c r="M367" s="13" t="n">
        <f aca="false">-0.05*(M10+M11)</f>
        <v>-35152.7089620568</v>
      </c>
      <c r="N367" s="13" t="n">
        <f aca="false">-0.05*(N10+N11)</f>
        <v>-41539.9627979893</v>
      </c>
      <c r="O367" s="13" t="n">
        <f aca="false">-0.05*(O10+O11)</f>
        <v>-42473.6561220368</v>
      </c>
      <c r="P367" s="13" t="n">
        <f aca="false">-0.05*(P10+P11)</f>
        <v>-43940.9011220368</v>
      </c>
      <c r="Q367" s="13" t="n">
        <f aca="false">-0.05*(Q10+Q11)</f>
        <v>-48114.1836084208</v>
      </c>
      <c r="R367" s="13" t="n">
        <f aca="false">-0.05*(R10+R11)</f>
        <v>-50323.4800782083</v>
      </c>
      <c r="S367" s="13" t="n">
        <f aca="false">-0.05*(S10+S11)</f>
        <v>-59366.2127810691</v>
      </c>
      <c r="T367" s="13" t="n">
        <f aca="false">-0.05*(T10+T11)</f>
        <v>-64051.9622810691</v>
      </c>
      <c r="U367" s="13" t="n">
        <f aca="false">-0.05*(U10+U11)</f>
        <v>-58564.9397810691</v>
      </c>
      <c r="V367" s="13" t="n">
        <f aca="false">-0.05*(V10+V11)</f>
        <v>-65419.3808863066</v>
      </c>
      <c r="W367" s="13" t="n">
        <f aca="false">-0.05*(W10+W11)</f>
        <v>-59671.5255013066</v>
      </c>
      <c r="X367" s="13" t="n">
        <f aca="false">-0.05*(X10+X11)</f>
        <v>-73019.4297442523</v>
      </c>
      <c r="Y367" s="13" t="n">
        <f aca="false">-0.05*(Y10+Y11)</f>
        <v>-63843.0837442523</v>
      </c>
      <c r="Z367" s="13" t="n">
        <f aca="false">-0.05*(Z10+Z11)</f>
        <v>-68839.4337442524</v>
      </c>
      <c r="AA367" s="13" t="n">
        <f aca="false">-0.05*(AA10+AA11)</f>
        <v>-64331.0867442523</v>
      </c>
      <c r="AB367" s="13" t="n">
        <f aca="false">-0.05*(AB10+AB11)</f>
        <v>-62841.9682442524</v>
      </c>
      <c r="AC367" s="13" t="n">
        <f aca="false">-0.05*(AC10+AC11)</f>
        <v>-58030.1262442524</v>
      </c>
      <c r="AD367" s="13" t="n">
        <f aca="false">-0.05*(AD10+AD11)</f>
        <v>-59158.4282442523</v>
      </c>
      <c r="AE367" s="13" t="n">
        <f aca="false">-0.05*(AE10+AE11)</f>
        <v>-66595.5942876797</v>
      </c>
      <c r="AF367" s="13" t="n">
        <f aca="false">-0.05*(AF10+AF11)</f>
        <v>-74514.8006236122</v>
      </c>
      <c r="AG367" s="13" t="n">
        <f aca="false">-0.05*(AG10+AG11)</f>
        <v>-76602.3707757947</v>
      </c>
      <c r="AH367" s="13" t="n">
        <f aca="false">-0.05*(AH10+AH11)</f>
        <v>-80850.9095095372</v>
      </c>
      <c r="AI367" s="13" t="n">
        <f aca="false">-0.05*(AI10+AI11)</f>
        <v>-73453.1886413157</v>
      </c>
      <c r="AJ367" s="13" t="n">
        <f aca="false">-0.05*(AJ10+AJ11)</f>
        <v>-81811.5085894907</v>
      </c>
      <c r="AK367" s="13" t="n">
        <f aca="false">-0.05*(AK10+AK11)</f>
        <v>-66685.2707094714</v>
      </c>
      <c r="AL367" s="13" t="n">
        <f aca="false">-0.05*(AL10+AL11)</f>
        <v>-71903.4687094714</v>
      </c>
      <c r="AM367" s="13" t="n">
        <f aca="false">-0.05*(AM10+AM11)</f>
        <v>-77905.2157094714</v>
      </c>
      <c r="AN367" s="13" t="n">
        <f aca="false">-0.05*(AN10+AN11)</f>
        <v>-81366.2658147089</v>
      </c>
      <c r="AO367" s="13" t="n">
        <f aca="false">-0.05*(AO10+AO11)</f>
        <v>-79483.5627192339</v>
      </c>
      <c r="AP367" s="13" t="n">
        <f aca="false">-0.05*(AP10+AP11)</f>
        <v>-76650.7624892339</v>
      </c>
      <c r="AQ367" s="13" t="n">
        <f aca="false">-0.05*(AQ10+AQ11)</f>
        <v>-81165.4249892339</v>
      </c>
      <c r="AR367" s="13" t="n">
        <f aca="false">-0.05*(AR10+AR11)</f>
        <v>-81165.4249892339</v>
      </c>
      <c r="AS367" s="13" t="n">
        <f aca="false">-0.05*(AS10+AS11)</f>
        <v>-81165.4249892339</v>
      </c>
      <c r="AT367" s="13" t="n">
        <f aca="false">-0.05*(AT10+AT11)</f>
        <v>-86583.0199892339</v>
      </c>
      <c r="AU367" s="13" t="n">
        <f aca="false">-0.05*(AU10+AU11)</f>
        <v>-88697.7874013758</v>
      </c>
      <c r="AV367" s="13" t="n">
        <f aca="false">-0.05*(AV10+AV11)</f>
        <v>-93341.2465139632</v>
      </c>
      <c r="AW367" s="13" t="n">
        <f aca="false">-0.05*(AW10+AW11)</f>
        <v>-71088.2570434273</v>
      </c>
      <c r="AX367" s="13" t="n">
        <f aca="false">-0.05*(AX10+AX11)</f>
        <v>-71088.2570434273</v>
      </c>
      <c r="AY367" s="13" t="n">
        <f aca="false">-0.05*(AY10+AY11)</f>
        <v>-76505.8520434273</v>
      </c>
      <c r="AZ367" s="13" t="n">
        <f aca="false">-0.05*(AZ10+AZ11)</f>
        <v>-75602.9195434273</v>
      </c>
      <c r="BA367" s="13" t="n">
        <f aca="false">-0.05*(BA10+BA11)</f>
        <v>-74699.9870434273</v>
      </c>
      <c r="BB367" s="13" t="n">
        <f aca="false">-0.05*(BB10+BB11)</f>
        <v>-74699.9870434273</v>
      </c>
      <c r="BC367" s="13" t="n">
        <f aca="false">-0.05*(BC10+BC11)</f>
        <v>-74699.9870434273</v>
      </c>
      <c r="BD367" s="13" t="n">
        <f aca="false">-0.05*(BD10+BD11)</f>
        <v>-75602.9195434273</v>
      </c>
      <c r="BE367" s="13" t="n">
        <f aca="false">-0.05*(BE10+BE11)</f>
        <v>-76505.8520434273</v>
      </c>
      <c r="BF367" s="13" t="n">
        <f aca="false">-0.05*(BF10+BF11)</f>
        <v>-74699.9870434273</v>
      </c>
      <c r="BG367" s="13" t="n">
        <f aca="false">-0.05*(BG10+BG11)</f>
        <v>-75602.9195434273</v>
      </c>
      <c r="BH367" s="13" t="n">
        <f aca="false">-0.05*(BH10+BH11)</f>
        <v>-88952.6657962073</v>
      </c>
      <c r="BI367" s="13" t="n">
        <f aca="false">-0.05*(BI10+BI11)</f>
        <v>-62302.3425</v>
      </c>
      <c r="BJ367" s="13" t="n">
        <f aca="false">-0.05*(BJ10+BJ11)</f>
        <v>-53273.0175</v>
      </c>
      <c r="BK367" s="13" t="n">
        <f aca="false">-0.05*(BK10+BK11)</f>
        <v>-53273.0175</v>
      </c>
      <c r="BL367" s="13" t="n">
        <f aca="false">-0.05*(BL10+BL11)</f>
        <v>-53273.0175</v>
      </c>
      <c r="BM367" s="13" t="n">
        <f aca="false">-0.05*(BM10+BM11)</f>
        <v>-58690.6125</v>
      </c>
      <c r="BN367" s="13" t="n">
        <f aca="false">-0.05*(BN10+BN11)</f>
        <v>-52370.085</v>
      </c>
      <c r="BO367" s="13" t="n">
        <f aca="false">-0.05*(BO10+BO11)</f>
        <v>-43340.76</v>
      </c>
      <c r="BP367" s="13" t="n">
        <f aca="false">-0.05*(BP10+BP11)</f>
        <v>-43340.76</v>
      </c>
      <c r="BQ367" s="13" t="n">
        <f aca="false">-0.05*(BQ10+BQ11)</f>
        <v>-43340.76</v>
      </c>
      <c r="BR367" s="13" t="n">
        <f aca="false">-0.05*(BR10+BR11)</f>
        <v>-47855.4225</v>
      </c>
      <c r="BS367" s="13" t="n">
        <f aca="false">-0.05*(BS10+BS11)</f>
        <v>-44243.6925</v>
      </c>
      <c r="BT367" s="13" t="n">
        <f aca="false">-0.05*(BT10+BT11)</f>
        <v>-37923.165</v>
      </c>
      <c r="BU367" s="13" t="n">
        <f aca="false">-0.05*(BU10+BU11)</f>
        <v>-33408.5025</v>
      </c>
      <c r="BV367" s="13" t="n">
        <f aca="false">-0.05*(BV10+BV11)</f>
        <v>-29796.7725</v>
      </c>
      <c r="BW367" s="13" t="n">
        <f aca="false">-0.05*(BW10+BW11)</f>
        <v>-23476.245</v>
      </c>
      <c r="BX367" s="13" t="n">
        <f aca="false">-0.05*(BX10+BX11)</f>
        <v>-18961.5825</v>
      </c>
      <c r="BY367" s="13" t="n">
        <f aca="false">-0.05*(BY10+BY11)</f>
        <v>-15349.8525</v>
      </c>
      <c r="BZ367" s="13" t="n">
        <f aca="false">-0.05*(BZ10+BZ11)</f>
        <v>-9029.325</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197447.0789635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82503.9523</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108351.9</v>
      </c>
      <c r="AU368" s="13" t="n">
        <f aca="false">SUMIFS(Retention!$E$2:$E$44,Retention!$F$2:$F$44,AU$3)</f>
        <v>150647.248242839</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108351.9</v>
      </c>
      <c r="AZ368" s="13" t="n">
        <f aca="false">SUMIFS(Retention!$E$2:$E$44,Retention!$F$2:$F$44,AZ$3)</f>
        <v>108351.9</v>
      </c>
      <c r="BA368" s="13" t="n">
        <f aca="false">SUMIFS(Retention!$E$2:$E$44,Retention!$F$2:$F$44,BA$3)</f>
        <v>90293.25</v>
      </c>
      <c r="BB368" s="13" t="n">
        <f aca="false">SUMIFS(Retention!$E$2:$E$44,Retention!$F$2:$F$44,BB$3)</f>
        <v>90293.25</v>
      </c>
      <c r="BC368" s="13" t="n">
        <f aca="false">SUMIFS(Retention!$E$2:$E$44,Retention!$F$2:$F$44,BC$3)</f>
        <v>90293.25</v>
      </c>
      <c r="BD368" s="13" t="n">
        <f aca="false">SUMIFS(Retention!$E$2:$E$44,Retention!$F$2:$F$44,BD$3)</f>
        <v>90293.25</v>
      </c>
      <c r="BE368" s="13" t="n">
        <f aca="false">SUMIFS(Retention!$E$2:$E$44,Retention!$F$2:$F$44,BE$3)</f>
        <v>108351.9</v>
      </c>
      <c r="BF368" s="13" t="n">
        <f aca="false">SUMIFS(Retention!$E$2:$E$44,Retention!$F$2:$F$44,BF$3)</f>
        <v>90293.25</v>
      </c>
      <c r="BG368" s="13" t="n">
        <f aca="false">SUMIFS(Retention!$E$2:$E$44,Retention!$F$2:$F$44,BG$3)</f>
        <v>90293.25</v>
      </c>
      <c r="BH368" s="13" t="n">
        <f aca="false">SUMIFS(Retention!$E$2:$E$44,Retention!$F$2:$F$44,BH$3)</f>
        <v>357288.1750556</v>
      </c>
      <c r="BI368" s="13" t="n">
        <f aca="false">SUMIFS(Retention!$E$2:$E$44,Retention!$F$2:$F$44,BI$3)</f>
        <v>90293.25</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108351.9</v>
      </c>
      <c r="BN368" s="13" t="n">
        <f aca="false">SUMIFS(Retention!$E$2:$E$44,Retention!$F$2:$F$44,BN$3)</f>
        <v>90293.25</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90293.25</v>
      </c>
      <c r="BS368" s="13" t="n">
        <f aca="false">SUMIFS(Retention!$E$2:$E$44,Retention!$F$2:$F$44,BS$3)</f>
        <v>108351.9</v>
      </c>
      <c r="BT368" s="13" t="n">
        <f aca="false">SUMIFS(Retention!$E$2:$E$44,Retention!$F$2:$F$44,BT$3)</f>
        <v>90293.25</v>
      </c>
      <c r="BU368" s="13" t="n">
        <f aca="false">SUMIFS(Retention!$E$2:$E$44,Retention!$F$2:$F$44,BU$3)</f>
        <v>90293.25</v>
      </c>
      <c r="BV368" s="13" t="n">
        <f aca="false">SUMIFS(Retention!$E$2:$E$44,Retention!$F$2:$F$44,BV$3)</f>
        <v>108351.9</v>
      </c>
      <c r="BW368" s="13" t="n">
        <f aca="false">SUMIFS(Retention!$E$2:$E$44,Retention!$F$2:$F$44,BW$3)</f>
        <v>90293.25</v>
      </c>
      <c r="BX368" s="13" t="n">
        <f aca="false">SUMIFS(Retention!$E$2:$E$44,Retention!$F$2:$F$44,BX$3)</f>
        <v>90293.25</v>
      </c>
      <c r="BY368" s="13" t="n">
        <f aca="false">SUMIFS(Retention!$E$2:$E$44,Retention!$F$2:$F$44,BY$3)</f>
        <v>108351.9</v>
      </c>
      <c r="BZ368" s="13" t="n">
        <f aca="false">SUMIFS(Retention!$E$2:$E$44,Retention!$F$2:$F$44,BZ$3)</f>
        <v>90293.25</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c r="K369" s="68" t="n">
        <f aca="false">SUM(K361:K368)</f>
        <v>1735568.99033333</v>
      </c>
      <c r="L369" s="68" t="n">
        <f aca="false">SUM(L361:L368)</f>
        <v>1904953.10516667</v>
      </c>
      <c r="M369" s="68" t="n">
        <f aca="false">SUM(M361:M368)</f>
        <v>1835177.82653794</v>
      </c>
      <c r="N369" s="68" t="n">
        <f aca="false">SUM(N361:N368)</f>
        <v>925511.424671362</v>
      </c>
      <c r="O369" s="68" t="n">
        <f aca="false">SUM(O361:O368)</f>
        <v>1123876.27150911</v>
      </c>
      <c r="P369" s="68" t="n">
        <f aca="false">SUM(P361:P368)</f>
        <v>1390898.90982781</v>
      </c>
      <c r="Q369" s="68" t="n">
        <f aca="false">SUM(Q361:Q368)</f>
        <v>1635906.57140012</v>
      </c>
      <c r="R369" s="68" t="n">
        <f aca="false">SUM(R361:R368)</f>
        <v>1590029.24666137</v>
      </c>
      <c r="S369" s="68" t="n">
        <f aca="false">SUM(S361:S368)</f>
        <v>1733836.58588397</v>
      </c>
      <c r="T369" s="68" t="n">
        <f aca="false">SUM(T361:T368)</f>
        <v>1444511.08129926</v>
      </c>
      <c r="U369" s="68" t="n">
        <f aca="false">SUM(U361:U368)</f>
        <v>2127042.29787957</v>
      </c>
      <c r="V369" s="68" t="n">
        <f aca="false">SUM(V361:V368)</f>
        <v>2755512.68735465</v>
      </c>
      <c r="W369" s="68" t="n">
        <f aca="false">SUM(W361:W368)</f>
        <v>3264392.47593278</v>
      </c>
      <c r="X369" s="68" t="n">
        <f aca="false">SUM(X361:X368)</f>
        <v>3579868.48309259</v>
      </c>
      <c r="Y369" s="68" t="n">
        <f aca="false">SUM(Y361:Y368)</f>
        <v>4355172.22052338</v>
      </c>
      <c r="Z369" s="68" t="n">
        <f aca="false">SUM(Z361:Z368)</f>
        <v>5004129.23440418</v>
      </c>
      <c r="AA369" s="68" t="n">
        <f aca="false">SUM(AA361:AA368)</f>
        <v>5844050.32778497</v>
      </c>
      <c r="AB369" s="68" t="n">
        <f aca="false">SUM(AB361:AB368)</f>
        <v>6587045.40178754</v>
      </c>
      <c r="AC369" s="68" t="n">
        <f aca="false">SUM(AC361:AC368)</f>
        <v>7170687.97502314</v>
      </c>
      <c r="AD369" s="68" t="n">
        <f aca="false">SUM(AD361:AD368)</f>
        <v>7701796.36625873</v>
      </c>
      <c r="AE369" s="68" t="n">
        <f aca="false">SUM(AE361:AE368)</f>
        <v>8248084.1014509</v>
      </c>
      <c r="AF369" s="68" t="n">
        <f aca="false">SUM(AF361:AF368)</f>
        <v>8328467.79493867</v>
      </c>
      <c r="AG369" s="68" t="n">
        <f aca="false">SUM(AG361:AG368)</f>
        <v>9208141.07021087</v>
      </c>
      <c r="AH369" s="68" t="n">
        <f aca="false">SUM(AH361:AH368)</f>
        <v>10145274.0809488</v>
      </c>
      <c r="AI369" s="68" t="n">
        <f aca="false">SUM(AI361:AI368)</f>
        <v>11061774.189593</v>
      </c>
      <c r="AJ369" s="68" t="n">
        <f aca="false">SUM(AJ361:AJ368)</f>
        <v>12026895.0798881</v>
      </c>
      <c r="AK369" s="68" t="n">
        <f aca="false">SUM(AK361:AK368)</f>
        <v>12710766.7549105</v>
      </c>
      <c r="AL369" s="68" t="n">
        <f aca="false">SUM(AL361:AL368)</f>
        <v>13352665.5974853</v>
      </c>
      <c r="AM369" s="68" t="n">
        <f aca="false">SUM(AM361:AM368)</f>
        <v>14092958.1230601</v>
      </c>
      <c r="AN369" s="68" t="n">
        <f aca="false">SUM(AN361:AN368)</f>
        <v>15242443.5516343</v>
      </c>
      <c r="AO369" s="68" t="n">
        <f aca="false">SUM(AO361:AO368)</f>
        <v>16172521.121336</v>
      </c>
      <c r="AP369" s="68" t="n">
        <f aca="false">SUM(AP361:AP368)</f>
        <v>17004310.6670581</v>
      </c>
      <c r="AQ369" s="68" t="n">
        <f aca="false">SUM(AQ361:AQ368)</f>
        <v>17448439.397897</v>
      </c>
      <c r="AR369" s="68" t="n">
        <f aca="false">SUM(AR361:AR368)</f>
        <v>18309351.5265191</v>
      </c>
      <c r="AS369" s="68" t="n">
        <f aca="false">SUM(AS361:AS368)</f>
        <v>19207763.6551413</v>
      </c>
      <c r="AT369" s="68" t="n">
        <f aca="false">SUM(AT361:AT368)</f>
        <v>20128389.1599306</v>
      </c>
      <c r="AU369" s="68" t="n">
        <f aca="false">SUM(AU361:AU368)</f>
        <v>21153470.9953981</v>
      </c>
      <c r="AV369" s="68" t="n">
        <f aca="false">SUM(AV361:AV368)</f>
        <v>22417840.1360918</v>
      </c>
      <c r="AW369" s="68" t="n">
        <f aca="false">SUM(AW361:AW368)</f>
        <v>23532345.8631544</v>
      </c>
      <c r="AX369" s="68" t="n">
        <f aca="false">SUM(AX361:AX368)</f>
        <v>24242087.3162662</v>
      </c>
      <c r="AY369" s="68" t="n">
        <f aca="false">SUM(AY361:AY368)</f>
        <v>24981758.9157996</v>
      </c>
      <c r="AZ369" s="68" t="n">
        <f aca="false">SUM(AZ361:AZ368)</f>
        <v>25829809.7853636</v>
      </c>
      <c r="BA369" s="68" t="n">
        <f aca="false">SUM(BA361:BA368)</f>
        <v>26620742.5343926</v>
      </c>
      <c r="BB369" s="68" t="n">
        <f aca="false">SUM(BB361:BB368)</f>
        <v>27395435.3724196</v>
      </c>
      <c r="BC369" s="68" t="n">
        <f aca="false">SUM(BC361:BC368)</f>
        <v>27947223.831804</v>
      </c>
      <c r="BD369" s="68" t="n">
        <f aca="false">SUM(BD361:BD368)</f>
        <v>28772449.5252607</v>
      </c>
      <c r="BE369" s="68" t="n">
        <f aca="false">SUM(BE361:BE368)</f>
        <v>29596113.3630922</v>
      </c>
      <c r="BF369" s="68" t="n">
        <f aca="false">SUM(BF361:BF368)</f>
        <v>30457414.9503964</v>
      </c>
      <c r="BG369" s="68" t="n">
        <f aca="false">SUM(BG361:BG368)</f>
        <v>31281424.7942217</v>
      </c>
      <c r="BH369" s="68" t="n">
        <f aca="false">SUM(BH361:BH368)</f>
        <v>32340483.1571689</v>
      </c>
      <c r="BI369" s="68" t="n">
        <f aca="false">SUM(BI361:BI368)</f>
        <v>33196782.0636631</v>
      </c>
      <c r="BJ369" s="68" t="n">
        <f aca="false">SUM(BJ361:BJ368)</f>
        <v>33802021.3053118</v>
      </c>
      <c r="BK369" s="68" t="n">
        <f aca="false">SUM(BK361:BK368)</f>
        <v>34229725.4727296</v>
      </c>
      <c r="BL369" s="68" t="n">
        <f aca="false">SUM(BL361:BL368)</f>
        <v>34667429.6401474</v>
      </c>
      <c r="BM369" s="68" t="n">
        <f aca="false">SUM(BM361:BM368)</f>
        <v>35115567.0644898</v>
      </c>
      <c r="BN369" s="68" t="n">
        <f aca="false">SUM(BN361:BN368)</f>
        <v>35705159.3859688</v>
      </c>
      <c r="BO369" s="68" t="n">
        <f aca="false">SUM(BO361:BO368)</f>
        <v>36170717.8699952</v>
      </c>
      <c r="BP369" s="68" t="n">
        <f aca="false">SUM(BP361:BP368)</f>
        <v>36503336.3884146</v>
      </c>
      <c r="BQ369" s="68" t="n">
        <f aca="false">SUM(BQ361:BQ368)</f>
        <v>36861190.4380417</v>
      </c>
      <c r="BR369" s="68" t="n">
        <f aca="false">SUM(BR361:BR368)</f>
        <v>37264027.8019026</v>
      </c>
      <c r="BS369" s="68" t="n">
        <f aca="false">SUM(BS361:BS368)</f>
        <v>37751400.0689952</v>
      </c>
      <c r="BT369" s="68" t="n">
        <f aca="false">SUM(BT361:BT368)</f>
        <v>38189349.7297409</v>
      </c>
      <c r="BU369" s="68" t="n">
        <f aca="false">SUM(BU361:BU368)</f>
        <v>38527650.1012085</v>
      </c>
      <c r="BV369" s="68" t="n">
        <f aca="false">SUM(BV361:BV368)</f>
        <v>38794569.039338</v>
      </c>
      <c r="BW369" s="68" t="n">
        <f aca="false">SUM(BW361:BW368)</f>
        <v>39012187.1502016</v>
      </c>
      <c r="BX369" s="68" t="n">
        <f aca="false">SUM(BX361:BX368)</f>
        <v>39117381.0590936</v>
      </c>
      <c r="BY369" s="68" t="n">
        <f aca="false">SUM(BY361:BY368)</f>
        <v>39134134.6982317</v>
      </c>
      <c r="BZ369" s="68" t="n">
        <f aca="false">SUM(BZ361:BZ368)</f>
        <v>39104443.8212035</v>
      </c>
      <c r="CA369" s="68" t="n">
        <f aca="false">SUM(CA361:CA368)</f>
        <v>38867078.4691752</v>
      </c>
      <c r="CB369" s="68" t="n">
        <f aca="false">SUM(CB361:CB368)</f>
        <v>38449126.617147</v>
      </c>
      <c r="CC369" s="68" t="n">
        <f aca="false">SUM(CC361:CC368)</f>
        <v>38031174.7651188</v>
      </c>
      <c r="CD369" s="68" t="n">
        <f aca="false">SUM(CD361:CD368)</f>
        <v>37613222.9130905</v>
      </c>
      <c r="CE369" s="68" t="n">
        <f aca="false">SUM(CE361:CE368)</f>
        <v>37195271.0610623</v>
      </c>
      <c r="CF369" s="68" t="n">
        <f aca="false">SUM(CF361:CF368)</f>
        <v>36777319.2090341</v>
      </c>
      <c r="CG369" s="68" t="n">
        <f aca="false">SUM(CG361:CG368)</f>
        <v>36359367.3570058</v>
      </c>
      <c r="CH369" s="68" t="n">
        <f aca="false">SUM(CH361:CH368)</f>
        <v>35941415.5049776</v>
      </c>
      <c r="CI369" s="68" t="n">
        <f aca="false">SUM(CI361:CI368)</f>
        <v>35523463.6529494</v>
      </c>
      <c r="CJ369" s="68" t="n">
        <f aca="false">SUM(CJ361:CJ368)</f>
        <v>35105511.8009211</v>
      </c>
      <c r="CK369" s="68" t="n">
        <f aca="false">SUM(CK361:CK368)</f>
        <v>34679500.9118523</v>
      </c>
      <c r="CL369" s="68" t="n">
        <f aca="false">SUM(CL361:CL368)</f>
        <v>34253490.0227835</v>
      </c>
      <c r="CM369" s="68" t="n">
        <f aca="false">SUM(CM361:CM368)</f>
        <v>33827479.1337147</v>
      </c>
      <c r="CN369" s="68" t="n">
        <f aca="false">SUM(CN361:CN368)</f>
        <v>33401468.2446459</v>
      </c>
      <c r="CO369" s="68" t="n">
        <f aca="false">SUM(CO361:CO368)</f>
        <v>32975457.3555771</v>
      </c>
      <c r="CP369" s="68" t="n">
        <f aca="false">SUM(CP361:CP368)</f>
        <v>32549446.4665083</v>
      </c>
      <c r="CQ369" s="68" t="n">
        <f aca="false">SUM(CQ361:CQ368)</f>
        <v>32123435.5774395</v>
      </c>
      <c r="CR369" s="68" t="n">
        <f aca="false">SUM(CR361:CR368)</f>
        <v>31697424.6883707</v>
      </c>
      <c r="CS369" s="68" t="n">
        <f aca="false">SUM(CS361:CS368)</f>
        <v>31271413.7993019</v>
      </c>
      <c r="CT369" s="68" t="n">
        <f aca="false">SUM(CT361:CT368)</f>
        <v>30885755.7242751</v>
      </c>
      <c r="CU369" s="68" t="n">
        <f aca="false">SUM(CU361:CU368)</f>
        <v>30500097.6492483</v>
      </c>
      <c r="CV369" s="68" t="n">
        <f aca="false">SUM(CV361:CV368)</f>
        <v>30114439.5742216</v>
      </c>
      <c r="CW369" s="68" t="n">
        <f aca="false">SUM(CW361:CW368)</f>
        <v>29721368.3376943</v>
      </c>
      <c r="CX369" s="68" t="n">
        <f aca="false">SUM(CX361:CX368)</f>
        <v>29328297.1011669</v>
      </c>
      <c r="CY369" s="68" t="n">
        <f aca="false">SUM(CY361:CY368)</f>
        <v>28935225.8646396</v>
      </c>
      <c r="CZ369" s="68" t="n">
        <f aca="false">SUM(CZ361:CZ368)</f>
        <v>28542154.6281123</v>
      </c>
      <c r="DA369" s="68" t="n">
        <f aca="false">SUM(DA361:DA368)</f>
        <v>28149083.391585</v>
      </c>
      <c r="DB369" s="68" t="n">
        <f aca="false">SUM(DB361:DB368)</f>
        <v>27756012.1550577</v>
      </c>
      <c r="DC369" s="68" t="n">
        <f aca="false">SUM(DC361:DC368)</f>
        <v>27362940.9185304</v>
      </c>
      <c r="DD369" s="68" t="n">
        <f aca="false">SUM(DD361:DD368)</f>
        <v>26969869.6820031</v>
      </c>
      <c r="DE369" s="68" t="n">
        <f aca="false">SUM(DE361:DE368)</f>
        <v>26576798.4454758</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-177500.46135</v>
      </c>
      <c r="O372" s="13" t="n">
        <f aca="false">N378</f>
        <v>-656622.603284607</v>
      </c>
      <c r="P372" s="13" t="n">
        <f aca="false">O378</f>
        <v>-812340.183810923</v>
      </c>
      <c r="Q372" s="13" t="n">
        <f aca="false">P378</f>
        <v>-967142.381304239</v>
      </c>
      <c r="R372" s="13" t="n">
        <f aca="false">Q378</f>
        <v>-1126425.99423055</v>
      </c>
      <c r="S372" s="13" t="n">
        <f aca="false">R378</f>
        <v>-1285709.60715687</v>
      </c>
      <c r="T372" s="13" t="n">
        <f aca="false">S378</f>
        <v>-1444993.22008319</v>
      </c>
      <c r="U372" s="13" t="n">
        <f aca="false">T378</f>
        <v>-1628183.0830095</v>
      </c>
      <c r="V372" s="13" t="n">
        <f aca="false">U378</f>
        <v>-1923372.94593582</v>
      </c>
      <c r="W372" s="13" t="n">
        <f aca="false">V378</f>
        <v>-2218562.80886213</v>
      </c>
      <c r="X372" s="13" t="n">
        <f aca="false">W378</f>
        <v>-2513752.67178845</v>
      </c>
      <c r="Y372" s="13" t="n">
        <f aca="false">X378</f>
        <v>-2808942.53471477</v>
      </c>
      <c r="Z372" s="13" t="n">
        <f aca="false">Y378</f>
        <v>-3046757.39764108</v>
      </c>
      <c r="AA372" s="13" t="n">
        <f aca="false">Z378</f>
        <v>-4632556.42235093</v>
      </c>
      <c r="AB372" s="13" t="n">
        <f aca="false">AA378</f>
        <v>-5177746.28527725</v>
      </c>
      <c r="AC372" s="13" t="n">
        <f aca="false">AB378</f>
        <v>-5415561.14820356</v>
      </c>
      <c r="AD372" s="13" t="n">
        <f aca="false">AC378</f>
        <v>-5714388.36417788</v>
      </c>
      <c r="AE372" s="13" t="n">
        <f aca="false">AD378</f>
        <v>-6013215.58015219</v>
      </c>
      <c r="AF372" s="13" t="n">
        <f aca="false">AE378</f>
        <v>-6254667.79612651</v>
      </c>
      <c r="AG372" s="13" t="n">
        <f aca="false">AF378</f>
        <v>-6553495.01210083</v>
      </c>
      <c r="AH372" s="13" t="n">
        <f aca="false">AG378</f>
        <v>-6855480.12281198</v>
      </c>
      <c r="AI372" s="13" t="n">
        <f aca="false">AH378</f>
        <v>-7160623.12825998</v>
      </c>
      <c r="AJ372" s="13" t="n">
        <f aca="false">AI378</f>
        <v>-7475266.13370798</v>
      </c>
      <c r="AK372" s="13" t="n">
        <f aca="false">AJ378</f>
        <v>-7789909.13915598</v>
      </c>
      <c r="AL372" s="13" t="n">
        <f aca="false">AK378</f>
        <v>-8104552.14460398</v>
      </c>
      <c r="AM372" s="13" t="n">
        <f aca="false">AL378</f>
        <v>-11642464.5850102</v>
      </c>
      <c r="AN372" s="13" t="n">
        <f aca="false">AM378</f>
        <v>-12207107.5904582</v>
      </c>
      <c r="AO372" s="13" t="n">
        <f aca="false">AN378</f>
        <v>-12479869.8039905</v>
      </c>
      <c r="AP372" s="13" t="n">
        <f aca="false">AO378</f>
        <v>-12686222.9095475</v>
      </c>
      <c r="AQ372" s="13" t="n">
        <f aca="false">AP378</f>
        <v>-12892576.0151044</v>
      </c>
      <c r="AR372" s="13" t="n">
        <f aca="false">AQ378</f>
        <v>-13098929.1206614</v>
      </c>
      <c r="AS372" s="13" t="n">
        <f aca="false">AR378</f>
        <v>-13305282.2262183</v>
      </c>
      <c r="AT372" s="13" t="n">
        <f aca="false">AS378</f>
        <v>-13511635.3317753</v>
      </c>
      <c r="AU372" s="13" t="n">
        <f aca="false">AT378</f>
        <v>-13717988.4373323</v>
      </c>
      <c r="AV372" s="13" t="n">
        <f aca="false">AU378</f>
        <v>-13924341.5428892</v>
      </c>
      <c r="AW372" s="13" t="n">
        <f aca="false">AV378</f>
        <v>-14130694.6484462</v>
      </c>
      <c r="AX372" s="13" t="n">
        <f aca="false">AW378</f>
        <v>-14337047.7540031</v>
      </c>
      <c r="AY372" s="13" t="n">
        <f aca="false">AX378</f>
        <v>-18797326.5637894</v>
      </c>
      <c r="AZ372" s="13" t="n">
        <f aca="false">AY378</f>
        <v>-19253679.6693463</v>
      </c>
      <c r="BA372" s="13" t="n">
        <f aca="false">AZ378</f>
        <v>-19460032.7749033</v>
      </c>
      <c r="BB372" s="13" t="n">
        <f aca="false">BA378</f>
        <v>-19670170.1825714</v>
      </c>
      <c r="BC372" s="13" t="n">
        <f aca="false">BB378</f>
        <v>-19880307.5902395</v>
      </c>
      <c r="BD372" s="13" t="n">
        <f aca="false">BC378</f>
        <v>-20090444.9979076</v>
      </c>
      <c r="BE372" s="13" t="n">
        <f aca="false">BD378</f>
        <v>-20300582.4055757</v>
      </c>
      <c r="BF372" s="13" t="n">
        <f aca="false">BE378</f>
        <v>-20510719.8132438</v>
      </c>
      <c r="BG372" s="13" t="n">
        <f aca="false">BF378</f>
        <v>-20720857.2209119</v>
      </c>
      <c r="BH372" s="13" t="n">
        <f aca="false">BG378</f>
        <v>-20930994.62858</v>
      </c>
      <c r="BI372" s="13" t="n">
        <f aca="false">BH378</f>
        <v>-21141132.0362481</v>
      </c>
      <c r="BJ372" s="13" t="n">
        <f aca="false">BI378</f>
        <v>-21351269.4439162</v>
      </c>
      <c r="BK372" s="13" t="n">
        <f aca="false">BJ378</f>
        <v>-24863596.3060753</v>
      </c>
      <c r="BL372" s="13" t="n">
        <f aca="false">BK378</f>
        <v>-25323733.7137434</v>
      </c>
      <c r="BM372" s="13" t="n">
        <f aca="false">BL378</f>
        <v>-25533871.1214115</v>
      </c>
      <c r="BN372" s="13" t="n">
        <f aca="false">BM378</f>
        <v>-25747868.517233</v>
      </c>
      <c r="BO372" s="13" t="n">
        <f aca="false">BN378</f>
        <v>-25961865.9130545</v>
      </c>
      <c r="BP372" s="13" t="n">
        <f aca="false">BO378</f>
        <v>-26175863.3088759</v>
      </c>
      <c r="BQ372" s="13" t="n">
        <f aca="false">BP378</f>
        <v>-26389860.7046974</v>
      </c>
      <c r="BR372" s="13" t="n">
        <f aca="false">BQ378</f>
        <v>-26603858.1005188</v>
      </c>
      <c r="BS372" s="13" t="n">
        <f aca="false">BR378</f>
        <v>-26764605.1463403</v>
      </c>
      <c r="BT372" s="13" t="n">
        <f aca="false">BS378</f>
        <v>-26978602.5421618</v>
      </c>
      <c r="BU372" s="13" t="n">
        <f aca="false">BT378</f>
        <v>-27192599.9379832</v>
      </c>
      <c r="BV372" s="13" t="n">
        <f aca="false">BU378</f>
        <v>-27338835.3338047</v>
      </c>
      <c r="BW372" s="13" t="n">
        <f aca="false">BV378</f>
        <v>-28711780.3493941</v>
      </c>
      <c r="BX372" s="13" t="n">
        <f aca="false">BW378</f>
        <v>-28925777.7452155</v>
      </c>
      <c r="BY372" s="13" t="n">
        <f aca="false">BX378</f>
        <v>-29072013.141037</v>
      </c>
      <c r="BZ372" s="13" t="n">
        <f aca="false">BY378</f>
        <v>-29289947.7247749</v>
      </c>
      <c r="CA372" s="13" t="n">
        <f aca="false">BZ378</f>
        <v>-29507882.3085128</v>
      </c>
      <c r="CB372" s="13" t="n">
        <f aca="false">CA378</f>
        <v>-29658054.8922506</v>
      </c>
      <c r="CC372" s="13" t="n">
        <f aca="false">CB378</f>
        <v>-29875989.4759885</v>
      </c>
      <c r="CD372" s="13" t="n">
        <f aca="false">CC378</f>
        <v>-30093924.0597264</v>
      </c>
      <c r="CE372" s="13" t="n">
        <f aca="false">CD378</f>
        <v>-30235359.6434643</v>
      </c>
      <c r="CF372" s="13" t="n">
        <f aca="false">CE378</f>
        <v>-30453294.2272022</v>
      </c>
      <c r="CG372" s="13" t="n">
        <f aca="false">CF378</f>
        <v>-30671228.8109401</v>
      </c>
      <c r="CH372" s="13" t="n">
        <f aca="false">CG378</f>
        <v>-30812664.394678</v>
      </c>
      <c r="CI372" s="13" t="n">
        <f aca="false">CH378</f>
        <v>-31030598.9784159</v>
      </c>
      <c r="CJ372" s="13" t="n">
        <f aca="false">CI378</f>
        <v>-31248533.5621538</v>
      </c>
      <c r="CK372" s="13" t="n">
        <f aca="false">CJ378</f>
        <v>-31383361.1192852</v>
      </c>
      <c r="CL372" s="13" t="n">
        <f aca="false">CK378</f>
        <v>-31447450.6346978</v>
      </c>
      <c r="CM372" s="13" t="n">
        <f aca="false">CL378</f>
        <v>-31511540.1501105</v>
      </c>
      <c r="CN372" s="13" t="n">
        <f aca="false">CM378</f>
        <v>-31575629.6655231</v>
      </c>
      <c r="CO372" s="13" t="n">
        <f aca="false">CN378</f>
        <v>-31639719.1809358</v>
      </c>
      <c r="CP372" s="13" t="n">
        <f aca="false">CO378</f>
        <v>-31703808.6963484</v>
      </c>
      <c r="CQ372" s="13" t="n">
        <f aca="false">CP378</f>
        <v>-31767898.2117611</v>
      </c>
      <c r="CR372" s="13" t="n">
        <f aca="false">CQ378</f>
        <v>-31831987.7271737</v>
      </c>
      <c r="CS372" s="13" t="n">
        <f aca="false">CR378</f>
        <v>-31896077.2425864</v>
      </c>
      <c r="CT372" s="13" t="n">
        <f aca="false">CS378</f>
        <v>-31960166.757999</v>
      </c>
      <c r="CU372" s="13" t="n">
        <f aca="false">CT378</f>
        <v>-32018345.3284135</v>
      </c>
      <c r="CV372" s="13" t="n">
        <f aca="false">CU378</f>
        <v>-32076523.8988281</v>
      </c>
      <c r="CW372" s="13" t="n">
        <f aca="false">CV378</f>
        <v>-32134702.4692426</v>
      </c>
      <c r="CX372" s="13" t="n">
        <f aca="false">CW378</f>
        <v>-32141150.9200019</v>
      </c>
      <c r="CY372" s="13" t="n">
        <f aca="false">CX378</f>
        <v>-32130152.5218247</v>
      </c>
      <c r="CZ372" s="13" t="n">
        <f aca="false">CY378</f>
        <v>-32119154.1236475</v>
      </c>
      <c r="DA372" s="13" t="n">
        <f aca="false">CZ378</f>
        <v>-32108155.7254703</v>
      </c>
      <c r="DB372" s="13" t="n">
        <f aca="false">DA378</f>
        <v>-32097157.3272932</v>
      </c>
      <c r="DC372" s="13" t="n">
        <f aca="false">DB378</f>
        <v>-32086158.929116</v>
      </c>
      <c r="DD372" s="13" t="n">
        <f aca="false">DC378</f>
        <v>-32075160.5309388</v>
      </c>
      <c r="DE372" s="13" t="n">
        <f aca="false">DD378</f>
        <v>-32064162.1327616</v>
      </c>
    </row>
    <row r="373" customFormat="false" ht="15" hidden="false" customHeight="true" outlineLevel="0" collapsed="false">
      <c r="A373" s="22" t="s">
        <v>196</v>
      </c>
      <c r="B373" s="13"/>
      <c r="C373" s="13"/>
      <c r="D373" s="13"/>
      <c r="E373" s="13"/>
      <c r="F373" s="13"/>
      <c r="G373" s="13"/>
      <c r="H373" s="13"/>
      <c r="I373" s="13"/>
      <c r="J373" s="13"/>
      <c r="K373" s="13" t="n">
        <f aca="false">K293-K258</f>
        <v>-154764.55</v>
      </c>
      <c r="L373" s="13" t="n">
        <f aca="false">L293-L258</f>
        <v>-164139.55</v>
      </c>
      <c r="M373" s="13" t="n">
        <f aca="false">M293-M258</f>
        <v>-160639.55</v>
      </c>
      <c r="N373" s="13" t="n">
        <f aca="false">N293-N258</f>
        <v>-158875.475263158</v>
      </c>
      <c r="O373" s="13" t="n">
        <f aca="false">O293-O258</f>
        <v>-155717.580526316</v>
      </c>
      <c r="P373" s="13" t="n">
        <f aca="false">P293-P258</f>
        <v>-155717.580526316</v>
      </c>
      <c r="Q373" s="13" t="n">
        <f aca="false">Q293-Q258</f>
        <v>-159283.612926316</v>
      </c>
      <c r="R373" s="13" t="n">
        <f aca="false">R293-R258</f>
        <v>-159283.612926316</v>
      </c>
      <c r="S373" s="13" t="n">
        <f aca="false">S293-S258</f>
        <v>-159283.612926316</v>
      </c>
      <c r="T373" s="13" t="n">
        <f aca="false">T293-T258</f>
        <v>-183189.862926316</v>
      </c>
      <c r="U373" s="13" t="n">
        <f aca="false">U293-U258</f>
        <v>-183189.862926316</v>
      </c>
      <c r="V373" s="13" t="n">
        <f aca="false">V293-V258</f>
        <v>-183189.862926316</v>
      </c>
      <c r="W373" s="13" t="n">
        <f aca="false">W293-W258</f>
        <v>-183189.862926316</v>
      </c>
      <c r="X373" s="13" t="n">
        <f aca="false">X293-X258</f>
        <v>-183189.862926316</v>
      </c>
      <c r="Y373" s="13" t="n">
        <f aca="false">Y293-Y258</f>
        <v>-125814.862926316</v>
      </c>
      <c r="Z373" s="13" t="n">
        <f aca="false">Z293-Z258</f>
        <v>-183189.862926316</v>
      </c>
      <c r="AA373" s="13" t="n">
        <f aca="false">AA293-AA258</f>
        <v>-183189.862926316</v>
      </c>
      <c r="AB373" s="13" t="n">
        <f aca="false">AB293-AB258</f>
        <v>-125814.862926316</v>
      </c>
      <c r="AC373" s="13" t="n">
        <f aca="false">AC293-AC258</f>
        <v>-186827.215974316</v>
      </c>
      <c r="AD373" s="13" t="n">
        <f aca="false">AD293-AD258</f>
        <v>-186827.215974316</v>
      </c>
      <c r="AE373" s="13" t="n">
        <f aca="false">AE293-AE258</f>
        <v>-129452.215974316</v>
      </c>
      <c r="AF373" s="13" t="n">
        <f aca="false">AF293-AF258</f>
        <v>-186827.215974316</v>
      </c>
      <c r="AG373" s="13" t="n">
        <f aca="false">AG293-AG258</f>
        <v>-189985.110711158</v>
      </c>
      <c r="AH373" s="13" t="n">
        <f aca="false">AH293-AH258</f>
        <v>-193143.005448</v>
      </c>
      <c r="AI373" s="13" t="n">
        <f aca="false">AI293-AI258</f>
        <v>-202643.005448</v>
      </c>
      <c r="AJ373" s="13" t="n">
        <f aca="false">AJ293-AJ258</f>
        <v>-202643.005448</v>
      </c>
      <c r="AK373" s="13" t="n">
        <f aca="false">AK293-AK258</f>
        <v>-202643.005448</v>
      </c>
      <c r="AL373" s="13" t="n">
        <f aca="false">AL293-AL258</f>
        <v>-202643.005448</v>
      </c>
      <c r="AM373" s="13" t="n">
        <f aca="false">AM293-AM258</f>
        <v>-202643.005448</v>
      </c>
      <c r="AN373" s="13" t="n">
        <f aca="false">AN293-AN258</f>
        <v>-202643.005448</v>
      </c>
      <c r="AO373" s="13" t="n">
        <f aca="false">AO293-AO258</f>
        <v>-206353.10555696</v>
      </c>
      <c r="AP373" s="13" t="n">
        <f aca="false">AP293-AP258</f>
        <v>-206353.10555696</v>
      </c>
      <c r="AQ373" s="13" t="n">
        <f aca="false">AQ293-AQ258</f>
        <v>-206353.10555696</v>
      </c>
      <c r="AR373" s="13" t="n">
        <f aca="false">AR293-AR258</f>
        <v>-206353.10555696</v>
      </c>
      <c r="AS373" s="13" t="n">
        <f aca="false">AS293-AS258</f>
        <v>-206353.10555696</v>
      </c>
      <c r="AT373" s="13" t="n">
        <f aca="false">AT293-AT258</f>
        <v>-206353.10555696</v>
      </c>
      <c r="AU373" s="13" t="n">
        <f aca="false">AU293-AU258</f>
        <v>-206353.10555696</v>
      </c>
      <c r="AV373" s="13" t="n">
        <f aca="false">AV293-AV258</f>
        <v>-206353.10555696</v>
      </c>
      <c r="AW373" s="13" t="n">
        <f aca="false">AW293-AW258</f>
        <v>-206353.10555696</v>
      </c>
      <c r="AX373" s="13" t="n">
        <f aca="false">AX293-AX258</f>
        <v>-206353.10555696</v>
      </c>
      <c r="AY373" s="13" t="n">
        <f aca="false">AY293-AY258</f>
        <v>-206353.10555696</v>
      </c>
      <c r="AZ373" s="13" t="n">
        <f aca="false">AZ293-AZ258</f>
        <v>-206353.10555696</v>
      </c>
      <c r="BA373" s="13" t="n">
        <f aca="false">BA293-BA258</f>
        <v>-210137.407668099</v>
      </c>
      <c r="BB373" s="13" t="n">
        <f aca="false">BB293-BB258</f>
        <v>-210137.407668099</v>
      </c>
      <c r="BC373" s="13" t="n">
        <f aca="false">BC293-BC258</f>
        <v>-210137.407668099</v>
      </c>
      <c r="BD373" s="13" t="n">
        <f aca="false">BD293-BD258</f>
        <v>-210137.407668099</v>
      </c>
      <c r="BE373" s="13" t="n">
        <f aca="false">BE293-BE258</f>
        <v>-210137.407668099</v>
      </c>
      <c r="BF373" s="13" t="n">
        <f aca="false">BF293-BF258</f>
        <v>-210137.407668099</v>
      </c>
      <c r="BG373" s="13" t="n">
        <f aca="false">BG293-BG258</f>
        <v>-210137.407668099</v>
      </c>
      <c r="BH373" s="13" t="n">
        <f aca="false">BH293-BH258</f>
        <v>-210137.407668099</v>
      </c>
      <c r="BI373" s="13" t="n">
        <f aca="false">BI293-BI258</f>
        <v>-210137.407668099</v>
      </c>
      <c r="BJ373" s="13" t="n">
        <f aca="false">BJ293-BJ258</f>
        <v>-210137.407668099</v>
      </c>
      <c r="BK373" s="13" t="n">
        <f aca="false">BK293-BK258</f>
        <v>-210137.407668099</v>
      </c>
      <c r="BL373" s="13" t="n">
        <f aca="false">BL293-BL258</f>
        <v>-210137.407668099</v>
      </c>
      <c r="BM373" s="13" t="n">
        <f aca="false">BM293-BM258</f>
        <v>-213997.395821461</v>
      </c>
      <c r="BN373" s="13" t="n">
        <f aca="false">BN293-BN258</f>
        <v>-213997.395821461</v>
      </c>
      <c r="BO373" s="13" t="n">
        <f aca="false">BO293-BO258</f>
        <v>-213997.395821461</v>
      </c>
      <c r="BP373" s="13" t="n">
        <f aca="false">BP293-BP258</f>
        <v>-213997.395821461</v>
      </c>
      <c r="BQ373" s="13" t="n">
        <f aca="false">BQ293-BQ258</f>
        <v>-213997.395821461</v>
      </c>
      <c r="BR373" s="13" t="n">
        <f aca="false">BR293-BR258</f>
        <v>-160747.045821461</v>
      </c>
      <c r="BS373" s="13" t="n">
        <f aca="false">BS293-BS258</f>
        <v>-213997.395821461</v>
      </c>
      <c r="BT373" s="13" t="n">
        <f aca="false">BT293-BT258</f>
        <v>-213997.395821461</v>
      </c>
      <c r="BU373" s="13" t="n">
        <f aca="false">BU293-BU258</f>
        <v>-146235.395821461</v>
      </c>
      <c r="BV373" s="13" t="n">
        <f aca="false">BV293-BV258</f>
        <v>-213997.395821461</v>
      </c>
      <c r="BW373" s="13" t="n">
        <f aca="false">BW293-BW258</f>
        <v>-213997.395821461</v>
      </c>
      <c r="BX373" s="13" t="n">
        <f aca="false">BX293-BX258</f>
        <v>-146235.395821461</v>
      </c>
      <c r="BY373" s="13" t="n">
        <f aca="false">BY293-BY258</f>
        <v>-217934.58373789</v>
      </c>
      <c r="BZ373" s="13" t="n">
        <f aca="false">BZ293-BZ258</f>
        <v>-217934.58373789</v>
      </c>
      <c r="CA373" s="13" t="n">
        <f aca="false">CA293-CA258</f>
        <v>-150172.58373789</v>
      </c>
      <c r="CB373" s="13" t="n">
        <f aca="false">CB293-CB258</f>
        <v>-217934.58373789</v>
      </c>
      <c r="CC373" s="13" t="n">
        <f aca="false">CC293-CC258</f>
        <v>-217934.58373789</v>
      </c>
      <c r="CD373" s="13" t="n">
        <f aca="false">CD293-CD258</f>
        <v>-141435.58373789</v>
      </c>
      <c r="CE373" s="13" t="n">
        <f aca="false">CE293-CE258</f>
        <v>-217934.58373789</v>
      </c>
      <c r="CF373" s="13" t="n">
        <f aca="false">CF293-CF258</f>
        <v>-217934.58373789</v>
      </c>
      <c r="CG373" s="13" t="n">
        <f aca="false">CG293-CG258</f>
        <v>-141435.58373789</v>
      </c>
      <c r="CH373" s="13" t="n">
        <f aca="false">CH293-CH258</f>
        <v>-217934.58373789</v>
      </c>
      <c r="CI373" s="13" t="n">
        <f aca="false">CI293-CI258</f>
        <v>-217934.58373789</v>
      </c>
      <c r="CJ373" s="13" t="n">
        <f aca="false">CJ293-CJ258</f>
        <v>-134827.557131411</v>
      </c>
      <c r="CK373" s="13" t="n">
        <f aca="false">CK293-CK258</f>
        <v>-64089.5154126482</v>
      </c>
      <c r="CL373" s="13" t="n">
        <f aca="false">CL293-CL258</f>
        <v>-64089.5154126482</v>
      </c>
      <c r="CM373" s="13" t="n">
        <f aca="false">CM293-CM258</f>
        <v>-64089.5154126482</v>
      </c>
      <c r="CN373" s="13" t="n">
        <f aca="false">CN293-CN258</f>
        <v>-64089.5154126482</v>
      </c>
      <c r="CO373" s="13" t="n">
        <f aca="false">CO293-CO258</f>
        <v>-64089.5154126482</v>
      </c>
      <c r="CP373" s="13" t="n">
        <f aca="false">CP293-CP258</f>
        <v>-64089.5154126482</v>
      </c>
      <c r="CQ373" s="13" t="n">
        <f aca="false">CQ293-CQ258</f>
        <v>-64089.5154126482</v>
      </c>
      <c r="CR373" s="13" t="n">
        <f aca="false">CR293-CR258</f>
        <v>-64089.5154126482</v>
      </c>
      <c r="CS373" s="13" t="n">
        <f aca="false">CS293-CS258</f>
        <v>-64089.5154126482</v>
      </c>
      <c r="CT373" s="13" t="n">
        <f aca="false">CT293-CT258</f>
        <v>-58178.5704145363</v>
      </c>
      <c r="CU373" s="13" t="n">
        <f aca="false">CU293-CU258</f>
        <v>-58178.5704145363</v>
      </c>
      <c r="CV373" s="13" t="n">
        <f aca="false">CV293-CV258</f>
        <v>-58178.5704145363</v>
      </c>
      <c r="CW373" s="13" t="n">
        <f aca="false">CW293-CW258</f>
        <v>-6448.4507592342</v>
      </c>
      <c r="CX373" s="13" t="n">
        <f aca="false">CX293-CX258</f>
        <v>10998.398177173</v>
      </c>
      <c r="CY373" s="13" t="n">
        <f aca="false">CY293-CY258</f>
        <v>10998.398177173</v>
      </c>
      <c r="CZ373" s="13" t="n">
        <f aca="false">CZ293-CZ258</f>
        <v>10998.398177173</v>
      </c>
      <c r="DA373" s="13" t="n">
        <f aca="false">DA293-DA258</f>
        <v>10998.398177173</v>
      </c>
      <c r="DB373" s="13" t="n">
        <f aca="false">DB293-DB258</f>
        <v>10998.398177173</v>
      </c>
      <c r="DC373" s="13" t="n">
        <f aca="false">DC293-DC258</f>
        <v>10998.398177173</v>
      </c>
      <c r="DD373" s="13" t="n">
        <f aca="false">DD293-DD258</f>
        <v>10998.398177173</v>
      </c>
      <c r="DE373" s="13" t="n">
        <f aca="false">DE293-DE258</f>
        <v>10998.398177173</v>
      </c>
    </row>
    <row r="374" customFormat="false" ht="15" hidden="false" customHeight="true" outlineLevel="0" collapsed="false">
      <c r="A374" s="22" t="s">
        <v>197</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-250000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-250000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-177500.46135</v>
      </c>
      <c r="N378" s="68" t="n">
        <f aca="false">N372+N373+N375+N376+N377+N374+N382</f>
        <v>-656622.603284607</v>
      </c>
      <c r="O378" s="68" t="n">
        <f aca="false">O372+O373+O375+O376+O377+O374+O382</f>
        <v>-812340.183810923</v>
      </c>
      <c r="P378" s="68" t="n">
        <f aca="false">P372+P373+P375+P376+P377+P374+P382</f>
        <v>-967142.381304239</v>
      </c>
      <c r="Q378" s="68" t="n">
        <f aca="false">Q372+Q373+Q375+Q376+Q377+Q374+Q382</f>
        <v>-1126425.99423055</v>
      </c>
      <c r="R378" s="68" t="n">
        <f aca="false">R372+R373+R375+R376+R377+R374+R382</f>
        <v>-1285709.60715687</v>
      </c>
      <c r="S378" s="68" t="n">
        <f aca="false">S372+S373+S375+S376+S377+S374+S382</f>
        <v>-1444993.22008319</v>
      </c>
      <c r="T378" s="68" t="n">
        <f aca="false">T372+T373+T375+T376+T377+T374+T382</f>
        <v>-1628183.0830095</v>
      </c>
      <c r="U378" s="68" t="n">
        <f aca="false">U372+U373+U375+U376+U377+U374+U382</f>
        <v>-1923372.94593582</v>
      </c>
      <c r="V378" s="68" t="n">
        <f aca="false">V372+V373+V375+V376+V377+V374+V382</f>
        <v>-2218562.80886213</v>
      </c>
      <c r="W378" s="68" t="n">
        <f aca="false">W372+W373+W375+W376+W377+W374+W382</f>
        <v>-2513752.67178845</v>
      </c>
      <c r="X378" s="68" t="n">
        <f aca="false">X372+X373+X375+X376+X377+X374+X382</f>
        <v>-2808942.53471477</v>
      </c>
      <c r="Y378" s="68" t="n">
        <f aca="false">Y372+Y373+Y375+Y376+Y377+Y374+Y382</f>
        <v>-3046757.39764108</v>
      </c>
      <c r="Z378" s="68" t="n">
        <f aca="false">Z372+Z373+Z375+Z376+Z377+Z374+Z382</f>
        <v>-4632556.42235093</v>
      </c>
      <c r="AA378" s="68" t="n">
        <f aca="false">AA372+AA373+AA375+AA376+AA377+AA374+AA382</f>
        <v>-5177746.28527725</v>
      </c>
      <c r="AB378" s="68" t="n">
        <f aca="false">AB372+AB373+AB375+AB376+AB377+AB374+AB382</f>
        <v>-5415561.14820356</v>
      </c>
      <c r="AC378" s="68" t="n">
        <f aca="false">AC372+AC373+AC375+AC376+AC377+AC374+AC382</f>
        <v>-5714388.36417788</v>
      </c>
      <c r="AD378" s="68" t="n">
        <f aca="false">AD372+AD373+AD375+AD376+AD377+AD374+AD382</f>
        <v>-6013215.58015219</v>
      </c>
      <c r="AE378" s="68" t="n">
        <f aca="false">AE372+AE373+AE375+AE376+AE377+AE374+AE382</f>
        <v>-6254667.79612651</v>
      </c>
      <c r="AF378" s="68" t="n">
        <f aca="false">AF372+AF373+AF375+AF376+AF377+AF374+AF382</f>
        <v>-6553495.01210083</v>
      </c>
      <c r="AG378" s="68" t="n">
        <f aca="false">AG372+AG373+AG375+AG376+AG377+AG374+AG382</f>
        <v>-6855480.12281198</v>
      </c>
      <c r="AH378" s="68" t="n">
        <f aca="false">AH372+AH373+AH375+AH376+AH377+AH374+AH382</f>
        <v>-7160623.12825998</v>
      </c>
      <c r="AI378" s="68" t="n">
        <f aca="false">AI372+AI373+AI375+AI376+AI377+AI374+AI382</f>
        <v>-7475266.13370798</v>
      </c>
      <c r="AJ378" s="68" t="n">
        <f aca="false">AJ372+AJ373+AJ375+AJ376+AJ377+AJ374+AJ382</f>
        <v>-7789909.13915598</v>
      </c>
      <c r="AK378" s="68" t="n">
        <f aca="false">AK372+AK373+AK375+AK376+AK377+AK374+AK382</f>
        <v>-8104552.14460398</v>
      </c>
      <c r="AL378" s="68" t="n">
        <f aca="false">AL372+AL373+AL375+AL376+AL377+AL374+AL382</f>
        <v>-11642464.5850102</v>
      </c>
      <c r="AM378" s="68" t="n">
        <f aca="false">AM372+AM373+AM375+AM376+AM377+AM374+AM382</f>
        <v>-12207107.5904582</v>
      </c>
      <c r="AN378" s="68" t="n">
        <f aca="false">AN372+AN373+AN375+AN376+AN377+AN374+AN382</f>
        <v>-12479869.8039905</v>
      </c>
      <c r="AO378" s="68" t="n">
        <f aca="false">AO372+AO373+AO375+AO376+AO377+AO374+AO382</f>
        <v>-12686222.9095475</v>
      </c>
      <c r="AP378" s="68" t="n">
        <f aca="false">AP372+AP373+AP375+AP376+AP377+AP374+AP382</f>
        <v>-12892576.0151044</v>
      </c>
      <c r="AQ378" s="68" t="n">
        <f aca="false">AQ372+AQ373+AQ375+AQ376+AQ377+AQ374+AQ382</f>
        <v>-13098929.1206614</v>
      </c>
      <c r="AR378" s="68" t="n">
        <f aca="false">AR372+AR373+AR375+AR376+AR377+AR374+AR382</f>
        <v>-13305282.2262183</v>
      </c>
      <c r="AS378" s="68" t="n">
        <f aca="false">AS372+AS373+AS375+AS376+AS377+AS374+AS382</f>
        <v>-13511635.3317753</v>
      </c>
      <c r="AT378" s="68" t="n">
        <f aca="false">AT372+AT373+AT375+AT376+AT377+AT374+AT382</f>
        <v>-13717988.4373323</v>
      </c>
      <c r="AU378" s="68" t="n">
        <f aca="false">AU372+AU373+AU375+AU376+AU377+AU374+AU382</f>
        <v>-13924341.5428892</v>
      </c>
      <c r="AV378" s="68" t="n">
        <f aca="false">AV372+AV373+AV375+AV376+AV377+AV374+AV382</f>
        <v>-14130694.6484462</v>
      </c>
      <c r="AW378" s="68" t="n">
        <f aca="false">AW372+AW373+AW375+AW376+AW377+AW374+AW382</f>
        <v>-14337047.7540031</v>
      </c>
      <c r="AX378" s="68" t="n">
        <f aca="false">AX372+AX373+AX375+AX376+AX377+AX374+AX382</f>
        <v>-18797326.5637894</v>
      </c>
      <c r="AY378" s="68" t="n">
        <f aca="false">AY372+AY373+AY375+AY376+AY377+AY374+AY382</f>
        <v>-19253679.6693463</v>
      </c>
      <c r="AZ378" s="68" t="n">
        <f aca="false">AZ372+AZ373+AZ375+AZ376+AZ377+AZ374+AZ382</f>
        <v>-19460032.7749033</v>
      </c>
      <c r="BA378" s="68" t="n">
        <f aca="false">BA372+BA373+BA375+BA376+BA377+BA374+BA382</f>
        <v>-19670170.1825714</v>
      </c>
      <c r="BB378" s="68" t="n">
        <f aca="false">BB372+BB373+BB375+BB376+BB377+BB374+BB382</f>
        <v>-19880307.5902395</v>
      </c>
      <c r="BC378" s="68" t="n">
        <f aca="false">BC372+BC373+BC375+BC376+BC377+BC374+BC382</f>
        <v>-20090444.9979076</v>
      </c>
      <c r="BD378" s="68" t="n">
        <f aca="false">BD372+BD373+BD375+BD376+BD377+BD374+BD382</f>
        <v>-20300582.4055757</v>
      </c>
      <c r="BE378" s="68" t="n">
        <f aca="false">BE372+BE373+BE375+BE376+BE377+BE374+BE382</f>
        <v>-20510719.8132438</v>
      </c>
      <c r="BF378" s="68" t="n">
        <f aca="false">BF372+BF373+BF375+BF376+BF377+BF374+BF382</f>
        <v>-20720857.2209119</v>
      </c>
      <c r="BG378" s="68" t="n">
        <f aca="false">BG372+BG373+BG375+BG376+BG377+BG374+BG382</f>
        <v>-20930994.62858</v>
      </c>
      <c r="BH378" s="68" t="n">
        <f aca="false">BH372+BH373+BH375+BH376+BH377+BH374+BH382</f>
        <v>-21141132.0362481</v>
      </c>
      <c r="BI378" s="68" t="n">
        <f aca="false">BI372+BI373+BI375+BI376+BI377+BI374+BI382</f>
        <v>-21351269.4439162</v>
      </c>
      <c r="BJ378" s="68" t="n">
        <f aca="false">BJ372+BJ373+BJ375+BJ376+BJ377+BJ374+BJ382</f>
        <v>-24863596.3060753</v>
      </c>
      <c r="BK378" s="68" t="n">
        <f aca="false">BK372+BK373+BK375+BK376+BK377+BK374+BK382</f>
        <v>-25323733.7137434</v>
      </c>
      <c r="BL378" s="68" t="n">
        <f aca="false">BL372+BL373+BL375+BL376+BL377+BL374+BL382</f>
        <v>-25533871.1214115</v>
      </c>
      <c r="BM378" s="68" t="n">
        <f aca="false">BM372+BM373+BM375+BM376+BM377+BM374+BM382</f>
        <v>-25747868.517233</v>
      </c>
      <c r="BN378" s="68" t="n">
        <f aca="false">BN372+BN373+BN375+BN376+BN377+BN374+BN382</f>
        <v>-25961865.9130545</v>
      </c>
      <c r="BO378" s="68" t="n">
        <f aca="false">BO372+BO373+BO375+BO376+BO377+BO374+BO382</f>
        <v>-26175863.3088759</v>
      </c>
      <c r="BP378" s="68" t="n">
        <f aca="false">BP372+BP373+BP375+BP376+BP377+BP374+BP382</f>
        <v>-26389860.7046974</v>
      </c>
      <c r="BQ378" s="68" t="n">
        <f aca="false">BQ372+BQ373+BQ375+BQ376+BQ377+BQ374+BQ382</f>
        <v>-26603858.1005188</v>
      </c>
      <c r="BR378" s="68" t="n">
        <f aca="false">BR372+BR373+BR375+BR376+BR377+BR374+BR382</f>
        <v>-26764605.1463403</v>
      </c>
      <c r="BS378" s="68" t="n">
        <f aca="false">BS372+BS373+BS375+BS376+BS377+BS374+BS382</f>
        <v>-26978602.5421618</v>
      </c>
      <c r="BT378" s="68" t="n">
        <f aca="false">BT372+BT373+BT375+BT376+BT377+BT374+BT382</f>
        <v>-27192599.9379832</v>
      </c>
      <c r="BU378" s="68" t="n">
        <f aca="false">BU372+BU373+BU375+BU376+BU377+BU374+BU382</f>
        <v>-27338835.3338047</v>
      </c>
      <c r="BV378" s="68" t="n">
        <f aca="false">BV372+BV373+BV375+BV376+BV377+BV374+BV382</f>
        <v>-28711780.3493941</v>
      </c>
      <c r="BW378" s="68" t="n">
        <f aca="false">BW372+BW373+BW375+BW376+BW377+BW374+BW382</f>
        <v>-28925777.7452155</v>
      </c>
      <c r="BX378" s="68" t="n">
        <f aca="false">BX372+BX373+BX375+BX376+BX377+BX374+BX382</f>
        <v>-29072013.141037</v>
      </c>
      <c r="BY378" s="68" t="n">
        <f aca="false">BY372+BY373+BY375+BY376+BY377+BY374+BY382</f>
        <v>-29289947.7247749</v>
      </c>
      <c r="BZ378" s="68" t="n">
        <f aca="false">BZ372+BZ373+BZ375+BZ376+BZ377+BZ374+BZ382</f>
        <v>-29507882.3085128</v>
      </c>
      <c r="CA378" s="68" t="n">
        <f aca="false">CA372+CA373+CA375+CA376+CA377+CA374+CA382</f>
        <v>-29658054.8922506</v>
      </c>
      <c r="CB378" s="68" t="n">
        <f aca="false">CB372+CB373+CB375+CB376+CB377+CB374+CB382</f>
        <v>-29875989.4759885</v>
      </c>
      <c r="CC378" s="68" t="n">
        <f aca="false">CC372+CC373+CC375+CC376+CC377+CC374+CC382</f>
        <v>-30093924.0597264</v>
      </c>
      <c r="CD378" s="68" t="n">
        <f aca="false">CD372+CD373+CD375+CD376+CD377+CD374+CD382</f>
        <v>-30235359.6434643</v>
      </c>
      <c r="CE378" s="68" t="n">
        <f aca="false">CE372+CE373+CE375+CE376+CE377+CE374+CE382</f>
        <v>-30453294.2272022</v>
      </c>
      <c r="CF378" s="68" t="n">
        <f aca="false">CF372+CF373+CF375+CF376+CF377+CF374+CF382</f>
        <v>-30671228.8109401</v>
      </c>
      <c r="CG378" s="68" t="n">
        <f aca="false">CG372+CG373+CG375+CG376+CG377+CG374+CG382</f>
        <v>-30812664.394678</v>
      </c>
      <c r="CH378" s="68" t="n">
        <f aca="false">CH372+CH373+CH375+CH376+CH377+CH374+CH382</f>
        <v>-31030598.9784159</v>
      </c>
      <c r="CI378" s="68" t="n">
        <f aca="false">CI372+CI373+CI375+CI376+CI377+CI374+CI382</f>
        <v>-31248533.5621538</v>
      </c>
      <c r="CJ378" s="68" t="n">
        <f aca="false">CJ372+CJ373+CJ375+CJ376+CJ377+CJ374+CJ382</f>
        <v>-31383361.1192852</v>
      </c>
      <c r="CK378" s="68" t="n">
        <f aca="false">CK372+CK373+CK375+CK376+CK377+CK374+CK382</f>
        <v>-31447450.6346978</v>
      </c>
      <c r="CL378" s="68" t="n">
        <f aca="false">CL372+CL373+CL375+CL376+CL377+CL374+CL382</f>
        <v>-31511540.1501105</v>
      </c>
      <c r="CM378" s="68" t="n">
        <f aca="false">CM372+CM373+CM375+CM376+CM377+CM374+CM382</f>
        <v>-31575629.6655231</v>
      </c>
      <c r="CN378" s="68" t="n">
        <f aca="false">CN372+CN373+CN375+CN376+CN377+CN374+CN382</f>
        <v>-31639719.1809358</v>
      </c>
      <c r="CO378" s="68" t="n">
        <f aca="false">CO372+CO373+CO375+CO376+CO377+CO374+CO382</f>
        <v>-31703808.6963484</v>
      </c>
      <c r="CP378" s="68" t="n">
        <f aca="false">CP372+CP373+CP375+CP376+CP377+CP374+CP382</f>
        <v>-31767898.2117611</v>
      </c>
      <c r="CQ378" s="68" t="n">
        <f aca="false">CQ372+CQ373+CQ375+CQ376+CQ377+CQ374+CQ382</f>
        <v>-31831987.7271737</v>
      </c>
      <c r="CR378" s="68" t="n">
        <f aca="false">CR372+CR373+CR375+CR376+CR377+CR374+CR382</f>
        <v>-31896077.2425864</v>
      </c>
      <c r="CS378" s="68" t="n">
        <f aca="false">CS372+CS373+CS375+CS376+CS377+CS374+CS382</f>
        <v>-31960166.757999</v>
      </c>
      <c r="CT378" s="68" t="n">
        <f aca="false">CT372+CT373+CT375+CT376+CT377+CT374+CT382</f>
        <v>-32018345.3284135</v>
      </c>
      <c r="CU378" s="68" t="n">
        <f aca="false">CU372+CU373+CU375+CU376+CU377+CU374+CU382</f>
        <v>-32076523.8988281</v>
      </c>
      <c r="CV378" s="68" t="n">
        <f aca="false">CV372+CV373+CV375+CV376+CV377+CV374+CV382</f>
        <v>-32134702.4692426</v>
      </c>
      <c r="CW378" s="68" t="n">
        <f aca="false">CW372+CW373+CW375+CW376+CW377+CW374+CW382</f>
        <v>-32141150.9200019</v>
      </c>
      <c r="CX378" s="68" t="n">
        <f aca="false">CX372+CX373+CX375+CX376+CX377+CX374+CX382</f>
        <v>-32130152.5218247</v>
      </c>
      <c r="CY378" s="68" t="n">
        <f aca="false">CY372+CY373+CY375+CY376+CY377+CY374+CY382</f>
        <v>-32119154.1236475</v>
      </c>
      <c r="CZ378" s="68" t="n">
        <f aca="false">CZ372+CZ373+CZ375+CZ376+CZ377+CZ374+CZ382</f>
        <v>-32108155.7254703</v>
      </c>
      <c r="DA378" s="68" t="n">
        <f aca="false">DA372+DA373+DA375+DA376+DA377+DA374+DA382</f>
        <v>-32097157.3272932</v>
      </c>
      <c r="DB378" s="68" t="n">
        <f aca="false">DB372+DB373+DB375+DB376+DB377+DB374+DB382</f>
        <v>-32086158.929116</v>
      </c>
      <c r="DC378" s="68" t="n">
        <f aca="false">DC372+DC373+DC375+DC376+DC377+DC374+DC382</f>
        <v>-32075160.5309388</v>
      </c>
      <c r="DD378" s="68" t="n">
        <f aca="false">DD372+DD373+DD375+DD376+DD377+DD374+DD382</f>
        <v>-32064162.1327616</v>
      </c>
      <c r="DE378" s="68" t="n">
        <f aca="false">DE372+DE373+DE375+DE376+DE377+DE374+DE382</f>
        <v>-32053163.7345845</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c r="K381" s="13" t="n">
        <f aca="false">K361+K372</f>
        <v>1714690</v>
      </c>
      <c r="L381" s="13" t="n">
        <f aca="false">L361+L372</f>
        <v>1880631.50321667</v>
      </c>
      <c r="M381" s="13" t="n">
        <f aca="false">M361+M372</f>
        <v>1886984.13093333</v>
      </c>
      <c r="N381" s="13" t="n">
        <f aca="false">N361+N372</f>
        <v>1657677.36518794</v>
      </c>
      <c r="O381" s="13" t="n">
        <f aca="false">O361+O372</f>
        <v>268888.821386755</v>
      </c>
      <c r="P381" s="13" t="n">
        <f aca="false">P361+P372</f>
        <v>311536.087698188</v>
      </c>
      <c r="Q381" s="13" t="n">
        <f aca="false">Q361+Q372</f>
        <v>423756.528523571</v>
      </c>
      <c r="R381" s="13" t="n">
        <f aca="false">R361+R372</f>
        <v>509480.577169569</v>
      </c>
      <c r="S381" s="13" t="n">
        <f aca="false">S361+S372</f>
        <v>304319.639504496</v>
      </c>
      <c r="T381" s="13" t="n">
        <f aca="false">T361+T372</f>
        <v>288843.365800784</v>
      </c>
      <c r="U381" s="13" t="n">
        <f aca="false">U361+U372</f>
        <v>-183672.001710243</v>
      </c>
      <c r="V381" s="13" t="n">
        <f aca="false">V361+V372</f>
        <v>203669.351943755</v>
      </c>
      <c r="W381" s="13" t="n">
        <f aca="false">W361+W372</f>
        <v>536949.878492517</v>
      </c>
      <c r="X381" s="13" t="n">
        <f aca="false">X361+X372</f>
        <v>750639.804144328</v>
      </c>
      <c r="Y381" s="13" t="n">
        <f aca="false">Y361+Y372</f>
        <v>770925.948377824</v>
      </c>
      <c r="Z381" s="13" t="n">
        <f aca="false">Z361+Z372</f>
        <v>1308414.8228823</v>
      </c>
      <c r="AA381" s="13" t="n">
        <f aca="false">AA361+AA372</f>
        <v>371572.812053246</v>
      </c>
      <c r="AB381" s="13" t="n">
        <f aca="false">AB361+AB372</f>
        <v>666304.042507724</v>
      </c>
      <c r="AC381" s="13" t="n">
        <f aca="false">AC361+AC372</f>
        <v>1171484.25358398</v>
      </c>
      <c r="AD381" s="13" t="n">
        <f aca="false">AD361+AD372</f>
        <v>1456299.61084526</v>
      </c>
      <c r="AE381" s="13" t="n">
        <f aca="false">AE361+AE372</f>
        <v>1688580.78610654</v>
      </c>
      <c r="AF381" s="13" t="n">
        <f aca="false">AF361+AF372</f>
        <v>1993416.30532439</v>
      </c>
      <c r="AG381" s="13" t="n">
        <f aca="false">AG361+AG372</f>
        <v>1774972.78283784</v>
      </c>
      <c r="AH381" s="13" t="n">
        <f aca="false">AH361+AH372</f>
        <v>2352660.94739888</v>
      </c>
      <c r="AI381" s="13" t="n">
        <f aca="false">AI361+AI372</f>
        <v>2984650.95268879</v>
      </c>
      <c r="AJ381" s="13" t="n">
        <f aca="false">AJ361+AJ372</f>
        <v>3586508.05588501</v>
      </c>
      <c r="AK381" s="13" t="n">
        <f aca="false">AK361+AK372</f>
        <v>4236985.94073213</v>
      </c>
      <c r="AL381" s="13" t="n">
        <f aca="false">AL361+AL372</f>
        <v>4606214.61030657</v>
      </c>
      <c r="AM381" s="13" t="n">
        <f aca="false">AM361+AM372</f>
        <v>1710201.01247512</v>
      </c>
      <c r="AN381" s="13" t="n">
        <f aca="false">AN361+AN372</f>
        <v>1885850.53260187</v>
      </c>
      <c r="AO381" s="13" t="n">
        <f aca="false">AO361+AO372</f>
        <v>2762573.74764382</v>
      </c>
      <c r="AP381" s="13" t="n">
        <f aca="false">AP361+AP372</f>
        <v>3486298.2117885</v>
      </c>
      <c r="AQ381" s="13" t="n">
        <f aca="false">AQ361+AQ372</f>
        <v>4111734.65195369</v>
      </c>
      <c r="AR381" s="13" t="n">
        <f aca="false">AR361+AR372</f>
        <v>4349510.27723561</v>
      </c>
      <c r="AS381" s="13" t="n">
        <f aca="false">AS361+AS372</f>
        <v>5004069.3003008</v>
      </c>
      <c r="AT381" s="13" t="n">
        <f aca="false">AT361+AT372</f>
        <v>5696128.32336598</v>
      </c>
      <c r="AU381" s="13" t="n">
        <f aca="false">AU361+AU372</f>
        <v>6410400.72259834</v>
      </c>
      <c r="AV381" s="13" t="n">
        <f aca="false">AV361+AV372</f>
        <v>7229129.45250888</v>
      </c>
      <c r="AW381" s="13" t="n">
        <f aca="false">AW361+AW372</f>
        <v>8287145.48764567</v>
      </c>
      <c r="AX381" s="13" t="n">
        <f aca="false">AX361+AX372</f>
        <v>9195298.10915124</v>
      </c>
      <c r="AY381" s="13" t="n">
        <f aca="false">AY361+AY372</f>
        <v>5444760.7524768</v>
      </c>
      <c r="AZ381" s="13" t="n">
        <f aca="false">AZ361+AZ372</f>
        <v>5728079.24645324</v>
      </c>
      <c r="BA381" s="13" t="n">
        <f aca="false">BA361+BA372</f>
        <v>6369777.01046031</v>
      </c>
      <c r="BB381" s="13" t="n">
        <f aca="false">BB361+BB372</f>
        <v>6950572.35182115</v>
      </c>
      <c r="BC381" s="13" t="n">
        <f aca="false">BC361+BC372</f>
        <v>7515127.78218013</v>
      </c>
      <c r="BD381" s="13" t="n">
        <f aca="false">BD361+BD372</f>
        <v>7856778.83389635</v>
      </c>
      <c r="BE381" s="13" t="n">
        <f aca="false">BE361+BE372</f>
        <v>8471867.11968501</v>
      </c>
      <c r="BF381" s="13" t="n">
        <f aca="false">BF361+BF372</f>
        <v>9085393.54984839</v>
      </c>
      <c r="BG381" s="13" t="n">
        <f aca="false">BG361+BG372</f>
        <v>9736557.72948453</v>
      </c>
      <c r="BH381" s="13" t="n">
        <f aca="false">BH361+BH372</f>
        <v>10350430.1656417</v>
      </c>
      <c r="BI381" s="13" t="n">
        <f aca="false">BI361+BI372</f>
        <v>11199351.1209208</v>
      </c>
      <c r="BJ381" s="13" t="n">
        <f aca="false">BJ361+BJ372</f>
        <v>11845512.6197469</v>
      </c>
      <c r="BK381" s="13" t="n">
        <f aca="false">BK361+BK372</f>
        <v>8938424.9992364</v>
      </c>
      <c r="BL381" s="13" t="n">
        <f aca="false">BL361+BL372</f>
        <v>8905991.75898613</v>
      </c>
      <c r="BM381" s="13" t="n">
        <f aca="false">BM361+BM372</f>
        <v>9133558.51873587</v>
      </c>
      <c r="BN381" s="13" t="n">
        <f aca="false">BN361+BN372</f>
        <v>9367698.54725684</v>
      </c>
      <c r="BO381" s="13" t="n">
        <f aca="false">BO361+BO372</f>
        <v>9743293.47291435</v>
      </c>
      <c r="BP381" s="13" t="n">
        <f aca="false">BP361+BP372</f>
        <v>9994854.56111923</v>
      </c>
      <c r="BQ381" s="13" t="n">
        <f aca="false">BQ361+BQ372</f>
        <v>10113475.6837172</v>
      </c>
      <c r="BR381" s="13" t="n">
        <f aca="false">BR361+BR372</f>
        <v>10257332.3375229</v>
      </c>
      <c r="BS381" s="13" t="n">
        <f aca="false">BS361+BS372</f>
        <v>10499422.6555623</v>
      </c>
      <c r="BT381" s="13" t="n">
        <f aca="false">BT361+BT372</f>
        <v>10772797.5268334</v>
      </c>
      <c r="BU381" s="13" t="n">
        <f aca="false">BU361+BU372</f>
        <v>10996749.7917577</v>
      </c>
      <c r="BV381" s="13" t="n">
        <f aca="false">BV361+BV372</f>
        <v>11188814.7674038</v>
      </c>
      <c r="BW381" s="13" t="n">
        <f aca="false">BW361+BW372</f>
        <v>10082788.6899439</v>
      </c>
      <c r="BX381" s="13" t="n">
        <f aca="false">BX361+BX372</f>
        <v>10086409.4049861</v>
      </c>
      <c r="BY381" s="13" t="n">
        <f aca="false">BY361+BY372</f>
        <v>10045367.9180567</v>
      </c>
      <c r="BZ381" s="13" t="n">
        <f aca="false">BZ361+BZ372</f>
        <v>9844186.97345684</v>
      </c>
      <c r="CA381" s="13" t="n">
        <f aca="false">CA361+CA372</f>
        <v>9596561.51269072</v>
      </c>
      <c r="CB381" s="13" t="n">
        <f aca="false">CB361+CB372</f>
        <v>9209023.57692459</v>
      </c>
      <c r="CC381" s="13" t="n">
        <f aca="false">CC361+CC372</f>
        <v>8573137.14115846</v>
      </c>
      <c r="CD381" s="13" t="n">
        <f aca="false">CD361+CD372</f>
        <v>7937250.70539234</v>
      </c>
      <c r="CE381" s="13" t="n">
        <f aca="false">CE361+CE372</f>
        <v>7377863.26962621</v>
      </c>
      <c r="CF381" s="13" t="n">
        <f aca="false">CF361+CF372</f>
        <v>6741976.83386008</v>
      </c>
      <c r="CG381" s="13" t="n">
        <f aca="false">CG361+CG372</f>
        <v>6106090.39809395</v>
      </c>
      <c r="CH381" s="13" t="n">
        <f aca="false">CH361+CH372</f>
        <v>5546702.96232783</v>
      </c>
      <c r="CI381" s="13" t="n">
        <f aca="false">CI361+CI372</f>
        <v>4910816.5265617</v>
      </c>
      <c r="CJ381" s="13" t="n">
        <f aca="false">CJ361+CJ372</f>
        <v>4274930.09079557</v>
      </c>
      <c r="CK381" s="13" t="n">
        <f aca="false">CK361+CK372</f>
        <v>3722150.68163593</v>
      </c>
      <c r="CL381" s="13" t="n">
        <f aca="false">CL361+CL372</f>
        <v>3232050.27715448</v>
      </c>
      <c r="CM381" s="13" t="n">
        <f aca="false">CM361+CM372</f>
        <v>2741949.87267302</v>
      </c>
      <c r="CN381" s="13" t="n">
        <f aca="false">CN361+CN372</f>
        <v>2251849.46819157</v>
      </c>
      <c r="CO381" s="13" t="n">
        <f aca="false">CO361+CO372</f>
        <v>1761749.06371012</v>
      </c>
      <c r="CP381" s="13" t="n">
        <f aca="false">CP361+CP372</f>
        <v>1271648.65922868</v>
      </c>
      <c r="CQ381" s="13" t="n">
        <f aca="false">CQ361+CQ372</f>
        <v>781548.254747227</v>
      </c>
      <c r="CR381" s="13" t="n">
        <f aca="false">CR361+CR372</f>
        <v>291447.850265779</v>
      </c>
      <c r="CS381" s="13" t="n">
        <f aca="false">CS361+CS372</f>
        <v>-198652.55421567</v>
      </c>
      <c r="CT381" s="13" t="n">
        <f aca="false">CT361+CT372</f>
        <v>-688752.958697118</v>
      </c>
      <c r="CU381" s="13" t="n">
        <f aca="false">CU361+CU372</f>
        <v>-1132589.60413843</v>
      </c>
      <c r="CV381" s="13" t="n">
        <f aca="false">CV361+CV372</f>
        <v>-1576426.24957974</v>
      </c>
      <c r="CW381" s="13" t="n">
        <f aca="false">CW361+CW372</f>
        <v>-2020262.89502106</v>
      </c>
      <c r="CX381" s="13" t="n">
        <f aca="false">CX361+CX372</f>
        <v>-2419782.5823076</v>
      </c>
      <c r="CY381" s="13" t="n">
        <f aca="false">CY361+CY372</f>
        <v>-2801855.42065774</v>
      </c>
      <c r="CZ381" s="13" t="n">
        <f aca="false">CZ361+CZ372</f>
        <v>-3183928.25900788</v>
      </c>
      <c r="DA381" s="13" t="n">
        <f aca="false">DA361+DA372</f>
        <v>-3566001.09735802</v>
      </c>
      <c r="DB381" s="13" t="n">
        <f aca="false">DB361+DB372</f>
        <v>-3948073.93570816</v>
      </c>
      <c r="DC381" s="13" t="n">
        <f aca="false">DC361+DC372</f>
        <v>-4330146.7740583</v>
      </c>
      <c r="DD381" s="13" t="n">
        <f aca="false">DD361+DD372</f>
        <v>-4712219.61240844</v>
      </c>
      <c r="DE381" s="13" t="n">
        <f aca="false">DE361+DE372</f>
        <v>-5094292.45075858</v>
      </c>
    </row>
    <row r="382" customFormat="false" ht="15" hidden="false" customHeight="true" outlineLevel="0" collapsed="false">
      <c r="A382" s="22" t="s">
        <v>204</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-320246.666671449</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-1290609.16178353</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-3223269.4349582</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-4253925.70422929</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-3302189.45449105</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-1158947.61976791</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c r="K383" s="68" t="n">
        <f aca="false">K369+K378</f>
        <v>1880631.50321667</v>
      </c>
      <c r="L383" s="68" t="n">
        <f aca="false">L369+L378</f>
        <v>1886984.13093333</v>
      </c>
      <c r="M383" s="68" t="n">
        <f aca="false">M369+M378</f>
        <v>1657677.36518794</v>
      </c>
      <c r="N383" s="68" t="n">
        <f aca="false">N369+N378</f>
        <v>268888.821386755</v>
      </c>
      <c r="O383" s="68" t="n">
        <f aca="false">O369+O378</f>
        <v>311536.087698188</v>
      </c>
      <c r="P383" s="68" t="n">
        <f aca="false">P369+P378</f>
        <v>423756.528523571</v>
      </c>
      <c r="Q383" s="68" t="n">
        <f aca="false">Q369+Q378</f>
        <v>509480.577169569</v>
      </c>
      <c r="R383" s="68" t="n">
        <f aca="false">R369+R378</f>
        <v>304319.639504496</v>
      </c>
      <c r="S383" s="68" t="n">
        <f aca="false">S369+S378</f>
        <v>288843.365800784</v>
      </c>
      <c r="T383" s="68" t="n">
        <f aca="false">T369+T378</f>
        <v>-183672.001710243</v>
      </c>
      <c r="U383" s="68" t="n">
        <f aca="false">U369+U378</f>
        <v>203669.351943755</v>
      </c>
      <c r="V383" s="68" t="n">
        <f aca="false">V369+V378</f>
        <v>536949.878492517</v>
      </c>
      <c r="W383" s="68" t="n">
        <f aca="false">W369+W378</f>
        <v>750639.804144328</v>
      </c>
      <c r="X383" s="68" t="n">
        <f aca="false">X369+X378</f>
        <v>770925.948377824</v>
      </c>
      <c r="Y383" s="68" t="n">
        <f aca="false">Y369+Y378</f>
        <v>1308414.8228823</v>
      </c>
      <c r="Z383" s="68" t="n">
        <f aca="false">Z369+Z378</f>
        <v>371572.812053246</v>
      </c>
      <c r="AA383" s="68" t="n">
        <f aca="false">AA369+AA378</f>
        <v>666304.042507724</v>
      </c>
      <c r="AB383" s="68" t="n">
        <f aca="false">AB369+AB378</f>
        <v>1171484.25358398</v>
      </c>
      <c r="AC383" s="68" t="n">
        <f aca="false">AC369+AC378</f>
        <v>1456299.61084526</v>
      </c>
      <c r="AD383" s="68" t="n">
        <f aca="false">AD369+AD378</f>
        <v>1688580.78610654</v>
      </c>
      <c r="AE383" s="68" t="n">
        <f aca="false">AE369+AE378</f>
        <v>1993416.30532439</v>
      </c>
      <c r="AF383" s="68" t="n">
        <f aca="false">AF369+AF378</f>
        <v>1774972.78283784</v>
      </c>
      <c r="AG383" s="68" t="n">
        <f aca="false">AG369+AG378</f>
        <v>2352660.94739888</v>
      </c>
      <c r="AH383" s="68" t="n">
        <f aca="false">AH369+AH378</f>
        <v>2984650.95268879</v>
      </c>
      <c r="AI383" s="68" t="n">
        <f aca="false">AI369+AI378</f>
        <v>3586508.05588501</v>
      </c>
      <c r="AJ383" s="68" t="n">
        <f aca="false">AJ369+AJ378</f>
        <v>4236985.94073213</v>
      </c>
      <c r="AK383" s="68" t="n">
        <f aca="false">AK369+AK378</f>
        <v>4606214.61030657</v>
      </c>
      <c r="AL383" s="68" t="n">
        <f aca="false">AL369+AL378</f>
        <v>1710201.01247512</v>
      </c>
      <c r="AM383" s="68" t="n">
        <f aca="false">AM369+AM378</f>
        <v>1885850.53260187</v>
      </c>
      <c r="AN383" s="68" t="n">
        <f aca="false">AN369+AN378</f>
        <v>2762573.74764382</v>
      </c>
      <c r="AO383" s="68" t="n">
        <f aca="false">AO369+AO378</f>
        <v>3486298.2117885</v>
      </c>
      <c r="AP383" s="68" t="n">
        <f aca="false">AP369+AP378</f>
        <v>4111734.65195369</v>
      </c>
      <c r="AQ383" s="68" t="n">
        <f aca="false">AQ369+AQ378</f>
        <v>4349510.27723561</v>
      </c>
      <c r="AR383" s="68" t="n">
        <f aca="false">AR369+AR378</f>
        <v>5004069.3003008</v>
      </c>
      <c r="AS383" s="68" t="n">
        <f aca="false">AS369+AS378</f>
        <v>5696128.32336598</v>
      </c>
      <c r="AT383" s="68" t="n">
        <f aca="false">AT369+AT378</f>
        <v>6410400.72259834</v>
      </c>
      <c r="AU383" s="68" t="n">
        <f aca="false">AU369+AU378</f>
        <v>7229129.45250888</v>
      </c>
      <c r="AV383" s="68" t="n">
        <f aca="false">AV369+AV378</f>
        <v>8287145.48764567</v>
      </c>
      <c r="AW383" s="68" t="n">
        <f aca="false">AW369+AW378</f>
        <v>9195298.10915124</v>
      </c>
      <c r="AX383" s="68" t="n">
        <f aca="false">AX369+AX378</f>
        <v>5444760.7524768</v>
      </c>
      <c r="AY383" s="68" t="n">
        <f aca="false">AY369+AY378</f>
        <v>5728079.24645324</v>
      </c>
      <c r="AZ383" s="68" t="n">
        <f aca="false">AZ369+AZ378</f>
        <v>6369777.01046031</v>
      </c>
      <c r="BA383" s="68" t="n">
        <f aca="false">BA369+BA378</f>
        <v>6950572.35182115</v>
      </c>
      <c r="BB383" s="68" t="n">
        <f aca="false">BB369+BB378</f>
        <v>7515127.78218013</v>
      </c>
      <c r="BC383" s="68" t="n">
        <f aca="false">BC369+BC378</f>
        <v>7856778.83389635</v>
      </c>
      <c r="BD383" s="68" t="n">
        <f aca="false">BD369+BD378</f>
        <v>8471867.11968501</v>
      </c>
      <c r="BE383" s="68" t="n">
        <f aca="false">BE369+BE378</f>
        <v>9085393.54984839</v>
      </c>
      <c r="BF383" s="68" t="n">
        <f aca="false">BF369+BF378</f>
        <v>9736557.72948453</v>
      </c>
      <c r="BG383" s="68" t="n">
        <f aca="false">BG369+BG378</f>
        <v>10350430.1656417</v>
      </c>
      <c r="BH383" s="68" t="n">
        <f aca="false">BH369+BH378</f>
        <v>11199351.1209208</v>
      </c>
      <c r="BI383" s="68" t="n">
        <f aca="false">BI369+BI378</f>
        <v>11845512.6197469</v>
      </c>
      <c r="BJ383" s="68" t="n">
        <f aca="false">BJ369+BJ378</f>
        <v>8938424.9992364</v>
      </c>
      <c r="BK383" s="68" t="n">
        <f aca="false">BK369+BK378</f>
        <v>8905991.75898613</v>
      </c>
      <c r="BL383" s="68" t="n">
        <f aca="false">BL369+BL378</f>
        <v>9133558.51873587</v>
      </c>
      <c r="BM383" s="68" t="n">
        <f aca="false">BM369+BM378</f>
        <v>9367698.54725684</v>
      </c>
      <c r="BN383" s="68" t="n">
        <f aca="false">BN369+BN378</f>
        <v>9743293.47291435</v>
      </c>
      <c r="BO383" s="68" t="n">
        <f aca="false">BO369+BO378</f>
        <v>9994854.56111923</v>
      </c>
      <c r="BP383" s="68" t="n">
        <f aca="false">BP369+BP378</f>
        <v>10113475.6837172</v>
      </c>
      <c r="BQ383" s="68" t="n">
        <f aca="false">BQ369+BQ378</f>
        <v>10257332.3375229</v>
      </c>
      <c r="BR383" s="68" t="n">
        <f aca="false">BR369+BR378</f>
        <v>10499422.6555623</v>
      </c>
      <c r="BS383" s="68" t="n">
        <f aca="false">BS369+BS378</f>
        <v>10772797.5268334</v>
      </c>
      <c r="BT383" s="68" t="n">
        <f aca="false">BT369+BT378</f>
        <v>10996749.7917577</v>
      </c>
      <c r="BU383" s="68" t="n">
        <f aca="false">BU369+BU378</f>
        <v>11188814.7674038</v>
      </c>
      <c r="BV383" s="68" t="n">
        <f aca="false">BV369+BV378</f>
        <v>10082788.6899439</v>
      </c>
      <c r="BW383" s="68" t="n">
        <f aca="false">BW369+BW378</f>
        <v>10086409.4049861</v>
      </c>
      <c r="BX383" s="68" t="n">
        <f aca="false">BX369+BX378</f>
        <v>10045367.9180567</v>
      </c>
      <c r="BY383" s="68" t="n">
        <f aca="false">BY369+BY378</f>
        <v>9844186.97345684</v>
      </c>
      <c r="BZ383" s="68" t="n">
        <f aca="false">BZ369+BZ378</f>
        <v>9596561.51269072</v>
      </c>
      <c r="CA383" s="68" t="n">
        <f aca="false">CA369+CA378</f>
        <v>9209023.57692459</v>
      </c>
      <c r="CB383" s="68" t="n">
        <f aca="false">CB369+CB378</f>
        <v>8573137.14115846</v>
      </c>
      <c r="CC383" s="68" t="n">
        <f aca="false">CC369+CC378</f>
        <v>7937250.70539234</v>
      </c>
      <c r="CD383" s="68" t="n">
        <f aca="false">CD369+CD378</f>
        <v>7377863.26962621</v>
      </c>
      <c r="CE383" s="68" t="n">
        <f aca="false">CE369+CE378</f>
        <v>6741976.83386008</v>
      </c>
      <c r="CF383" s="68" t="n">
        <f aca="false">CF369+CF378</f>
        <v>6106090.39809395</v>
      </c>
      <c r="CG383" s="68" t="n">
        <f aca="false">CG369+CG378</f>
        <v>5546702.96232783</v>
      </c>
      <c r="CH383" s="68" t="n">
        <f aca="false">CH369+CH378</f>
        <v>4910816.5265617</v>
      </c>
      <c r="CI383" s="68" t="n">
        <f aca="false">CI369+CI378</f>
        <v>4274930.09079557</v>
      </c>
      <c r="CJ383" s="68" t="n">
        <f aca="false">CJ369+CJ378</f>
        <v>3722150.68163593</v>
      </c>
      <c r="CK383" s="68" t="n">
        <f aca="false">CK369+CK378</f>
        <v>3232050.27715448</v>
      </c>
      <c r="CL383" s="68" t="n">
        <f aca="false">CL369+CL378</f>
        <v>2741949.87267302</v>
      </c>
      <c r="CM383" s="68" t="n">
        <f aca="false">CM369+CM378</f>
        <v>2251849.46819157</v>
      </c>
      <c r="CN383" s="68" t="n">
        <f aca="false">CN369+CN378</f>
        <v>1761749.06371012</v>
      </c>
      <c r="CO383" s="68" t="n">
        <f aca="false">CO369+CO378</f>
        <v>1271648.65922868</v>
      </c>
      <c r="CP383" s="68" t="n">
        <f aca="false">CP369+CP378</f>
        <v>781548.254747227</v>
      </c>
      <c r="CQ383" s="68" t="n">
        <f aca="false">CQ369+CQ378</f>
        <v>291447.850265779</v>
      </c>
      <c r="CR383" s="68" t="n">
        <f aca="false">CR369+CR378</f>
        <v>-198652.55421567</v>
      </c>
      <c r="CS383" s="68" t="n">
        <f aca="false">CS369+CS378</f>
        <v>-688752.958697118</v>
      </c>
      <c r="CT383" s="68" t="n">
        <f aca="false">CT369+CT378</f>
        <v>-1132589.60413843</v>
      </c>
      <c r="CU383" s="68" t="n">
        <f aca="false">CU369+CU378</f>
        <v>-1576426.24957974</v>
      </c>
      <c r="CV383" s="68" t="n">
        <f aca="false">CV369+CV378</f>
        <v>-2020262.89502106</v>
      </c>
      <c r="CW383" s="68" t="n">
        <f aca="false">CW369+CW378</f>
        <v>-2419782.5823076</v>
      </c>
      <c r="CX383" s="68" t="n">
        <f aca="false">CX369+CX378</f>
        <v>-2801855.42065774</v>
      </c>
      <c r="CY383" s="68" t="n">
        <f aca="false">CY369+CY378</f>
        <v>-3183928.25900788</v>
      </c>
      <c r="CZ383" s="68" t="n">
        <f aca="false">CZ369+CZ378</f>
        <v>-3566001.09735802</v>
      </c>
      <c r="DA383" s="68" t="n">
        <f aca="false">DA369+DA378</f>
        <v>-3948073.93570816</v>
      </c>
      <c r="DB383" s="68" t="n">
        <f aca="false">DB369+DB378</f>
        <v>-4330146.7740583</v>
      </c>
      <c r="DC383" s="68" t="n">
        <f aca="false">DC369+DC378</f>
        <v>-4712219.61240844</v>
      </c>
      <c r="DD383" s="68" t="n">
        <f aca="false">DD369+DD378</f>
        <v>-5094292.45075858</v>
      </c>
      <c r="DE383" s="68" t="n">
        <f aca="false">DE369+DE378</f>
        <v>-5476365.28910872</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1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1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1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1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1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1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1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1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1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1735568.99033333</v>
      </c>
      <c r="L412" s="13" t="n">
        <f aca="false">IF(L$4="Actuals",IF(M$4="Actuals","",M361),L369)</f>
        <v>1904953.10516667</v>
      </c>
      <c r="M412" s="13" t="n">
        <f aca="false">IF(M$4="Actuals",IF(N$4="Actuals","",N361),M369)</f>
        <v>1835177.82653794</v>
      </c>
      <c r="N412" s="13" t="n">
        <f aca="false">IF(N$4="Actuals",IF(O$4="Actuals","",O361),N369)</f>
        <v>925511.424671362</v>
      </c>
      <c r="O412" s="13" t="n">
        <f aca="false">IF(O$4="Actuals",IF(P$4="Actuals","",P361),O369)</f>
        <v>1123876.27150911</v>
      </c>
      <c r="P412" s="13" t="n">
        <f aca="false">IF(P$4="Actuals",IF(Q$4="Actuals","",Q361),P369)</f>
        <v>1390898.90982781</v>
      </c>
      <c r="Q412" s="13" t="n">
        <f aca="false">IF(Q$4="Actuals",IF(R$4="Actuals","",R361),Q369)</f>
        <v>1635906.57140012</v>
      </c>
      <c r="R412" s="13" t="n">
        <f aca="false">IF(R$4="Actuals",IF(S$4="Actuals","",S361),R369)</f>
        <v>1590029.24666137</v>
      </c>
      <c r="S412" s="13" t="n">
        <f aca="false">IF(S$4="Actuals",IF(T$4="Actuals","",T361),S369)</f>
        <v>1733836.58588397</v>
      </c>
      <c r="T412" s="13" t="n">
        <f aca="false">IF(T$4="Actuals",IF(U$4="Actuals","",U361),T369)</f>
        <v>1444511.08129926</v>
      </c>
      <c r="U412" s="13" t="n">
        <f aca="false">IF(U$4="Actuals",IF(V$4="Actuals","",V361),U369)</f>
        <v>2127042.29787957</v>
      </c>
      <c r="V412" s="13" t="n">
        <f aca="false">IF(V$4="Actuals",IF(W$4="Actuals","",W361),V369)</f>
        <v>2755512.68735465</v>
      </c>
      <c r="W412" s="13" t="n">
        <f aca="false">IF(W$4="Actuals",IF(X$4="Actuals","",X361),W369)</f>
        <v>3264392.47593278</v>
      </c>
      <c r="X412" s="13" t="n">
        <f aca="false">IF(X$4="Actuals",IF(Y$4="Actuals","",Y361),X369)</f>
        <v>3579868.48309259</v>
      </c>
      <c r="Y412" s="13" t="n">
        <f aca="false">IF(Y$4="Actuals",IF(Z$4="Actuals","",Z361),Y369)</f>
        <v>4355172.22052338</v>
      </c>
      <c r="Z412" s="13" t="n">
        <f aca="false">IF(Z$4="Actuals",IF(AA$4="Actuals","",AA361),Z369)</f>
        <v>5004129.23440418</v>
      </c>
      <c r="AA412" s="13" t="n">
        <f aca="false">IF(AA$4="Actuals",IF(AB$4="Actuals","",AB361),AA369)</f>
        <v>5844050.32778497</v>
      </c>
      <c r="AB412" s="13" t="n">
        <f aca="false">IF(AB$4="Actuals",IF(AC$4="Actuals","",AC361),AB369)</f>
        <v>6587045.40178754</v>
      </c>
      <c r="AC412" s="13" t="n">
        <f aca="false">IF(AC$4="Actuals",IF(AD$4="Actuals","",AD361),AC369)</f>
        <v>7170687.97502314</v>
      </c>
      <c r="AD412" s="13" t="n">
        <f aca="false">IF(AD$4="Actuals",IF(AE$4="Actuals","",AE361),AD369)</f>
        <v>7701796.36625873</v>
      </c>
      <c r="AE412" s="13" t="n">
        <f aca="false">IF(AE$4="Actuals",IF(AF$4="Actuals","",AF361),AE369)</f>
        <v>8248084.1014509</v>
      </c>
      <c r="AF412" s="13" t="n">
        <f aca="false">IF(AF$4="Actuals",IF(AG$4="Actuals","",AG361),AF369)</f>
        <v>8328467.79493867</v>
      </c>
      <c r="AG412" s="13" t="n">
        <f aca="false">IF(AG$4="Actuals",IF(AH$4="Actuals","",AH361),AG369)</f>
        <v>9208141.07021087</v>
      </c>
      <c r="AH412" s="13" t="n">
        <f aca="false">IF(AH$4="Actuals",IF(AI$4="Actuals","",AI361),AH369)</f>
        <v>10145274.0809488</v>
      </c>
      <c r="AI412" s="13" t="n">
        <f aca="false">IF(AI$4="Actuals",IF(AJ$4="Actuals","",AJ361),AI369)</f>
        <v>11061774.189593</v>
      </c>
      <c r="AJ412" s="13" t="n">
        <f aca="false">IF(AJ$4="Actuals",IF(AK$4="Actuals","",AK361),AJ369)</f>
        <v>12026895.0798881</v>
      </c>
      <c r="AK412" s="13" t="n">
        <f aca="false">IF(AK$4="Actuals",IF(AL$4="Actuals","",AL361),AK369)</f>
        <v>12710766.7549105</v>
      </c>
      <c r="AL412" s="13" t="n">
        <f aca="false">IF(AL$4="Actuals",IF(AM$4="Actuals","",AM361),AL369)</f>
        <v>13352665.5974853</v>
      </c>
      <c r="AM412" s="13" t="n">
        <f aca="false">IF(AM$4="Actuals",IF(AN$4="Actuals","",AN361),AM369)</f>
        <v>14092958.1230601</v>
      </c>
      <c r="AN412" s="13" t="n">
        <f aca="false">IF(AN$4="Actuals",IF(AO$4="Actuals","",AO361),AN369)</f>
        <v>15242443.5516343</v>
      </c>
      <c r="AO412" s="13" t="n">
        <f aca="false">IF(AO$4="Actuals",IF(AP$4="Actuals","",AP361),AO369)</f>
        <v>16172521.121336</v>
      </c>
      <c r="AP412" s="13" t="n">
        <f aca="false">IF(AP$4="Actuals",IF(AQ$4="Actuals","",AQ361),AP369)</f>
        <v>17004310.6670581</v>
      </c>
      <c r="AQ412" s="13" t="n">
        <f aca="false">IF(AQ$4="Actuals",IF(AR$4="Actuals","",AR361),AQ369)</f>
        <v>17448439.397897</v>
      </c>
      <c r="AR412" s="13" t="n">
        <f aca="false">IF(AR$4="Actuals",IF(AS$4="Actuals","",AS361),AR369)</f>
        <v>18309351.5265191</v>
      </c>
      <c r="AS412" s="13" t="n">
        <f aca="false">IF(AS$4="Actuals",IF(AT$4="Actuals","",AT361),AS369)</f>
        <v>19207763.6551413</v>
      </c>
      <c r="AT412" s="13" t="n">
        <f aca="false">IF(AT$4="Actuals",IF(AU$4="Actuals","",AU361),AT369)</f>
        <v>20128389.1599306</v>
      </c>
      <c r="AU412" s="13" t="n">
        <f aca="false">IF(AU$4="Actuals",IF(AV$4="Actuals","",AV361),AU369)</f>
        <v>21153470.9953981</v>
      </c>
      <c r="AV412" s="13" t="n">
        <f aca="false">IF(AV$4="Actuals",IF(AW$4="Actuals","",AW361),AV369)</f>
        <v>22417840.1360918</v>
      </c>
      <c r="AW412" s="13" t="n">
        <f aca="false">IF(AW$4="Actuals",IF(AX$4="Actuals","",AX361),AW369)</f>
        <v>23532345.8631544</v>
      </c>
      <c r="AX412" s="13" t="n">
        <f aca="false">IF(AX$4="Actuals",IF(AY$4="Actuals","",AY361),AX369)</f>
        <v>24242087.3162662</v>
      </c>
      <c r="AY412" s="13" t="n">
        <f aca="false">IF(AY$4="Actuals",IF(AZ$4="Actuals","",AZ361),AY369)</f>
        <v>24981758.9157996</v>
      </c>
      <c r="AZ412" s="13" t="n">
        <f aca="false">IF(AZ$4="Actuals",IF(BA$4="Actuals","",BA361),AZ369)</f>
        <v>25829809.7853636</v>
      </c>
      <c r="BA412" s="13" t="n">
        <f aca="false">IF(BA$4="Actuals",IF(BB$4="Actuals","",BB361),BA369)</f>
        <v>26620742.5343926</v>
      </c>
      <c r="BB412" s="13" t="n">
        <f aca="false">IF(BB$4="Actuals",IF(BC$4="Actuals","",BC361),BB369)</f>
        <v>27395435.3724196</v>
      </c>
      <c r="BC412" s="13" t="n">
        <f aca="false">IF(BC$4="Actuals",IF(BD$4="Actuals","",BD361),BC369)</f>
        <v>27947223.831804</v>
      </c>
      <c r="BD412" s="13" t="n">
        <f aca="false">IF(BD$4="Actuals",IF(BE$4="Actuals","",BE361),BD369)</f>
        <v>28772449.5252607</v>
      </c>
      <c r="BE412" s="13" t="n">
        <f aca="false">IF(BE$4="Actuals",IF(BF$4="Actuals","",BF361),BE369)</f>
        <v>29596113.3630922</v>
      </c>
      <c r="BF412" s="13" t="n">
        <f aca="false">IF(BF$4="Actuals",IF(BG$4="Actuals","",BG361),BF369)</f>
        <v>30457414.9503964</v>
      </c>
      <c r="BG412" s="13" t="n">
        <f aca="false">IF(BG$4="Actuals",IF(BH$4="Actuals","",BH361),BG369)</f>
        <v>31281424.7942217</v>
      </c>
      <c r="BH412" s="13" t="n">
        <f aca="false">IF(BH$4="Actuals",IF(BI$4="Actuals","",BI361),BH369)</f>
        <v>32340483.1571689</v>
      </c>
      <c r="BI412" s="13" t="n">
        <f aca="false">IF(BI$4="Actuals",IF(BJ$4="Actuals","",BJ361),BI369)</f>
        <v>33196782.0636631</v>
      </c>
      <c r="BJ412" s="13" t="n">
        <f aca="false">IF(BJ$4="Actuals",IF(BK$4="Actuals","",BK361),BJ369)</f>
        <v>33802021.3053118</v>
      </c>
      <c r="BK412" s="13" t="n">
        <f aca="false">IF(BK$4="Actuals",IF(BL$4="Actuals","",BL361),BK369)</f>
        <v>34229725.4727296</v>
      </c>
      <c r="BL412" s="13" t="n">
        <f aca="false">IF(BL$4="Actuals",IF(BM$4="Actuals","",BM361),BL369)</f>
        <v>34667429.6401474</v>
      </c>
      <c r="BM412" s="13" t="n">
        <f aca="false">IF(BM$4="Actuals",IF(BN$4="Actuals","",BN361),BM369)</f>
        <v>35115567.0644898</v>
      </c>
      <c r="BN412" s="13" t="n">
        <f aca="false">IF(BN$4="Actuals",IF(BO$4="Actuals","",BO361),BN369)</f>
        <v>35705159.3859688</v>
      </c>
      <c r="BO412" s="13" t="n">
        <f aca="false">IF(BO$4="Actuals",IF(BP$4="Actuals","",BP361),BO369)</f>
        <v>36170717.8699952</v>
      </c>
      <c r="BP412" s="13" t="n">
        <f aca="false">IF(BP$4="Actuals",IF(BQ$4="Actuals","",BQ361),BP369)</f>
        <v>36503336.3884146</v>
      </c>
      <c r="BQ412" s="13" t="n">
        <f aca="false">IF(BQ$4="Actuals",IF(BR$4="Actuals","",BR361),BQ369)</f>
        <v>36861190.4380417</v>
      </c>
      <c r="BR412" s="13" t="n">
        <f aca="false">IF(BR$4="Actuals",IF(BS$4="Actuals","",BS361),BR369)</f>
        <v>37264027.8019026</v>
      </c>
      <c r="BS412" s="13" t="n">
        <f aca="false">IF(BS$4="Actuals",IF(BT$4="Actuals","",BT361),BS369)</f>
        <v>37751400.0689952</v>
      </c>
      <c r="BT412" s="13" t="n">
        <f aca="false">IF(BT$4="Actuals",IF(BU$4="Actuals","",BU361),BT369)</f>
        <v>38189349.7297409</v>
      </c>
      <c r="BU412" s="13" t="n">
        <f aca="false">IF(BU$4="Actuals",IF(BV$4="Actuals","",BV361),BU369)</f>
        <v>38527650.1012085</v>
      </c>
      <c r="BV412" s="13" t="n">
        <f aca="false">IF(BV$4="Actuals",IF(BW$4="Actuals","",BW361),BV369)</f>
        <v>38794569.039338</v>
      </c>
      <c r="BW412" s="13" t="n">
        <f aca="false">IF(BW$4="Actuals",IF(BX$4="Actuals","",BX361),BW369)</f>
        <v>39012187.1502016</v>
      </c>
      <c r="BX412" s="13" t="n">
        <f aca="false">IF(BX$4="Actuals",IF(BY$4="Actuals","",BY361),BX369)</f>
        <v>39117381.0590936</v>
      </c>
      <c r="BY412" s="13" t="n">
        <f aca="false">IF(BY$4="Actuals",IF(BZ$4="Actuals","",BZ361),BY369)</f>
        <v>39134134.6982317</v>
      </c>
      <c r="BZ412" s="13" t="n">
        <f aca="false">IF(BZ$4="Actuals",IF(CA$4="Actuals","",CA361),BZ369)</f>
        <v>39104443.8212035</v>
      </c>
      <c r="CA412" s="13" t="n">
        <f aca="false">IF(CA$4="Actuals",IF(CB$4="Actuals","",CB361),CA369)</f>
        <v>38867078.4691752</v>
      </c>
      <c r="CB412" s="13" t="n">
        <f aca="false">IF(CB$4="Actuals",IF(CC$4="Actuals","",CC361),CB369)</f>
        <v>38449126.617147</v>
      </c>
      <c r="CC412" s="13" t="n">
        <f aca="false">IF(CC$4="Actuals",IF(CD$4="Actuals","",CD361),CC369)</f>
        <v>38031174.7651188</v>
      </c>
      <c r="CD412" s="13" t="n">
        <f aca="false">IF(CD$4="Actuals",IF(CE$4="Actuals","",CE361),CD369)</f>
        <v>37613222.9130905</v>
      </c>
      <c r="CE412" s="13" t="n">
        <f aca="false">IF(CE$4="Actuals",IF(CF$4="Actuals","",CF361),CE369)</f>
        <v>37195271.0610623</v>
      </c>
      <c r="CF412" s="13" t="n">
        <f aca="false">IF(CF$4="Actuals",IF(CG$4="Actuals","",CG361),CF369)</f>
        <v>36777319.2090341</v>
      </c>
      <c r="CG412" s="13" t="n">
        <f aca="false">IF(CG$4="Actuals",IF(CH$4="Actuals","",CH361),CG369)</f>
        <v>36359367.3570058</v>
      </c>
      <c r="CH412" s="13" t="n">
        <f aca="false">IF(CH$4="Actuals",IF(CI$4="Actuals","",CI361),CH369)</f>
        <v>35941415.5049776</v>
      </c>
      <c r="CI412" s="13" t="n">
        <f aca="false">IF(CI$4="Actuals",IF(CJ$4="Actuals","",CJ361),CI369)</f>
        <v>35523463.6529494</v>
      </c>
      <c r="CJ412" s="13" t="n">
        <f aca="false">IF(CJ$4="Actuals",IF(CK$4="Actuals","",CK361),CJ369)</f>
        <v>35105511.8009211</v>
      </c>
      <c r="CK412" s="13" t="n">
        <f aca="false">IF(CK$4="Actuals",IF(CL$4="Actuals","",CL361),CK369)</f>
        <v>34679500.9118523</v>
      </c>
      <c r="CL412" s="13" t="n">
        <f aca="false">IF(CL$4="Actuals",IF(CM$4="Actuals","",CM361),CL369)</f>
        <v>34253490.0227835</v>
      </c>
      <c r="CM412" s="13" t="n">
        <f aca="false">IF(CM$4="Actuals",IF(CN$4="Actuals","",CN361),CM369)</f>
        <v>33827479.1337147</v>
      </c>
      <c r="CN412" s="13" t="n">
        <f aca="false">IF(CN$4="Actuals",IF(CO$4="Actuals","",CO361),CN369)</f>
        <v>33401468.2446459</v>
      </c>
      <c r="CO412" s="13" t="n">
        <f aca="false">IF(CO$4="Actuals",IF(CP$4="Actuals","",CP361),CO369)</f>
        <v>32975457.3555771</v>
      </c>
      <c r="CP412" s="13" t="n">
        <f aca="false">IF(CP$4="Actuals",IF(CQ$4="Actuals","",CQ361),CP369)</f>
        <v>32549446.4665083</v>
      </c>
      <c r="CQ412" s="13" t="n">
        <f aca="false">IF(CQ$4="Actuals",IF(CR$4="Actuals","",CR361),CQ369)</f>
        <v>32123435.5774395</v>
      </c>
      <c r="CR412" s="13" t="n">
        <f aca="false">IF(CR$4="Actuals",IF(CS$4="Actuals","",CS361),CR369)</f>
        <v>31697424.6883707</v>
      </c>
      <c r="CS412" s="13" t="n">
        <f aca="false">IF(CS$4="Actuals",IF(CT$4="Actuals","",CT361),CS369)</f>
        <v>31271413.7993019</v>
      </c>
      <c r="CT412" s="13" t="n">
        <f aca="false">IF(CT$4="Actuals",IF(CU$4="Actuals","",CU361),CT369)</f>
        <v>30885755.7242751</v>
      </c>
      <c r="CU412" s="13" t="n">
        <f aca="false">IF(CU$4="Actuals",IF(CV$4="Actuals","",CV361),CU369)</f>
        <v>30500097.6492483</v>
      </c>
      <c r="CV412" s="13" t="n">
        <f aca="false">IF(CV$4="Actuals",IF(CW$4="Actuals","",CW361),CV369)</f>
        <v>30114439.5742216</v>
      </c>
      <c r="CW412" s="13" t="n">
        <f aca="false">IF(CW$4="Actuals",IF(CX$4="Actuals","",CX361),CW369)</f>
        <v>29721368.3376943</v>
      </c>
      <c r="CX412" s="13" t="n">
        <f aca="false">IF(CX$4="Actuals",IF(CY$4="Actuals","",CY361),CX369)</f>
        <v>29328297.1011669</v>
      </c>
      <c r="CY412" s="13" t="n">
        <f aca="false">IF(CY$4="Actuals",IF(CZ$4="Actuals","",CZ361),CY369)</f>
        <v>28935225.8646396</v>
      </c>
      <c r="CZ412" s="13" t="n">
        <f aca="false">IF(CZ$4="Actuals",IF(DA$4="Actuals","",DA361),CZ369)</f>
        <v>28542154.6281123</v>
      </c>
      <c r="DA412" s="13" t="n">
        <f aca="false">IF(DA$4="Actuals",IF(DB$4="Actuals","",DB361),DA369)</f>
        <v>28149083.391585</v>
      </c>
      <c r="DB412" s="13" t="n">
        <f aca="false">IF(DB$4="Actuals",IF(DC$4="Actuals","",DC361),DB369)</f>
        <v>27756012.1550577</v>
      </c>
      <c r="DC412" s="13" t="n">
        <f aca="false">IF(DC$4="Actuals",IF(DD$4="Actuals","",DD361),DC369)</f>
        <v>27362940.9185304</v>
      </c>
      <c r="DD412" s="13" t="n">
        <f aca="false">IF(DD$4="Actuals",IF(DE$4="Actuals","",DE361),DD369)</f>
        <v>26969869.6820031</v>
      </c>
      <c r="DE412" s="13" t="n">
        <f aca="false">IF(DE$4="Actuals",IF(DF$4="Actuals","",DF361),DE369)</f>
        <v>26576798.4454758</v>
      </c>
    </row>
    <row r="413" customFormat="false" ht="1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5" hidden="false" customHeight="true" outlineLevel="0" collapsed="false">
      <c r="A415" s="22" t="s">
        <v>232</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-177500.46135</v>
      </c>
      <c r="N420" s="13" t="n">
        <f aca="false">IF(N$4="Actuals",IF(O$4="Actuals","",O372),N378)</f>
        <v>-656622.603284607</v>
      </c>
      <c r="O420" s="13" t="n">
        <f aca="false">IF(O$4="Actuals",IF(P$4="Actuals","",P372),O378)</f>
        <v>-812340.183810923</v>
      </c>
      <c r="P420" s="13" t="n">
        <f aca="false">IF(P$4="Actuals",IF(Q$4="Actuals","",Q372),P378)</f>
        <v>-967142.381304239</v>
      </c>
      <c r="Q420" s="13" t="n">
        <f aca="false">IF(Q$4="Actuals",IF(R$4="Actuals","",R372),Q378)</f>
        <v>-1126425.99423055</v>
      </c>
      <c r="R420" s="13" t="n">
        <f aca="false">IF(R$4="Actuals",IF(S$4="Actuals","",S372),R378)</f>
        <v>-1285709.60715687</v>
      </c>
      <c r="S420" s="13" t="n">
        <f aca="false">IF(S$4="Actuals",IF(T$4="Actuals","",T372),S378)</f>
        <v>-1444993.22008319</v>
      </c>
      <c r="T420" s="13" t="n">
        <f aca="false">IF(T$4="Actuals",IF(U$4="Actuals","",U372),T378)</f>
        <v>-1628183.0830095</v>
      </c>
      <c r="U420" s="13" t="n">
        <f aca="false">IF(U$4="Actuals",IF(V$4="Actuals","",V372),U378)</f>
        <v>-1923372.94593582</v>
      </c>
      <c r="V420" s="13" t="n">
        <f aca="false">IF(V$4="Actuals",IF(W$4="Actuals","",W372),V378)</f>
        <v>-2218562.80886213</v>
      </c>
      <c r="W420" s="13" t="n">
        <f aca="false">IF(W$4="Actuals",IF(X$4="Actuals","",X372),W378)</f>
        <v>-2513752.67178845</v>
      </c>
      <c r="X420" s="13" t="n">
        <f aca="false">IF(X$4="Actuals",IF(Y$4="Actuals","",Y372),X378)</f>
        <v>-2808942.53471477</v>
      </c>
      <c r="Y420" s="13" t="n">
        <f aca="false">IF(Y$4="Actuals",IF(Z$4="Actuals","",Z372),Y378)</f>
        <v>-3046757.39764108</v>
      </c>
      <c r="Z420" s="13" t="n">
        <f aca="false">IF(Z$4="Actuals",IF(AA$4="Actuals","",AA372),Z378)</f>
        <v>-4632556.42235093</v>
      </c>
      <c r="AA420" s="13" t="n">
        <f aca="false">IF(AA$4="Actuals",IF(AB$4="Actuals","",AB372),AA378)</f>
        <v>-5177746.28527725</v>
      </c>
      <c r="AB420" s="13" t="n">
        <f aca="false">IF(AB$4="Actuals",IF(AC$4="Actuals","",AC372),AB378)</f>
        <v>-5415561.14820356</v>
      </c>
      <c r="AC420" s="13" t="n">
        <f aca="false">IF(AC$4="Actuals",IF(AD$4="Actuals","",AD372),AC378)</f>
        <v>-5714388.36417788</v>
      </c>
      <c r="AD420" s="13" t="n">
        <f aca="false">IF(AD$4="Actuals",IF(AE$4="Actuals","",AE372),AD378)</f>
        <v>-6013215.58015219</v>
      </c>
      <c r="AE420" s="13" t="n">
        <f aca="false">IF(AE$4="Actuals",IF(AF$4="Actuals","",AF372),AE378)</f>
        <v>-6254667.79612651</v>
      </c>
      <c r="AF420" s="13" t="n">
        <f aca="false">IF(AF$4="Actuals",IF(AG$4="Actuals","",AG372),AF378)</f>
        <v>-6553495.01210083</v>
      </c>
      <c r="AG420" s="13" t="n">
        <f aca="false">IF(AG$4="Actuals",IF(AH$4="Actuals","",AH372),AG378)</f>
        <v>-6855480.12281198</v>
      </c>
      <c r="AH420" s="13" t="n">
        <f aca="false">IF(AH$4="Actuals",IF(AI$4="Actuals","",AI372),AH378)</f>
        <v>-7160623.12825998</v>
      </c>
      <c r="AI420" s="13" t="n">
        <f aca="false">IF(AI$4="Actuals",IF(AJ$4="Actuals","",AJ372),AI378)</f>
        <v>-7475266.13370798</v>
      </c>
      <c r="AJ420" s="13" t="n">
        <f aca="false">IF(AJ$4="Actuals",IF(AK$4="Actuals","",AK372),AJ378)</f>
        <v>-7789909.13915598</v>
      </c>
      <c r="AK420" s="13" t="n">
        <f aca="false">IF(AK$4="Actuals",IF(AL$4="Actuals","",AL372),AK378)</f>
        <v>-8104552.14460398</v>
      </c>
      <c r="AL420" s="13" t="n">
        <f aca="false">IF(AL$4="Actuals",IF(AM$4="Actuals","",AM372),AL378)</f>
        <v>-11642464.5850102</v>
      </c>
      <c r="AM420" s="13" t="n">
        <f aca="false">IF(AM$4="Actuals",IF(AN$4="Actuals","",AN372),AM378)</f>
        <v>-12207107.5904582</v>
      </c>
      <c r="AN420" s="13" t="n">
        <f aca="false">IF(AN$4="Actuals",IF(AO$4="Actuals","",AO372),AN378)</f>
        <v>-12479869.8039905</v>
      </c>
      <c r="AO420" s="13" t="n">
        <f aca="false">IF(AO$4="Actuals",IF(AP$4="Actuals","",AP372),AO378)</f>
        <v>-12686222.9095475</v>
      </c>
      <c r="AP420" s="13" t="n">
        <f aca="false">IF(AP$4="Actuals",IF(AQ$4="Actuals","",AQ372),AP378)</f>
        <v>-12892576.0151044</v>
      </c>
      <c r="AQ420" s="13" t="n">
        <f aca="false">IF(AQ$4="Actuals",IF(AR$4="Actuals","",AR372),AQ378)</f>
        <v>-13098929.1206614</v>
      </c>
      <c r="AR420" s="13" t="n">
        <f aca="false">IF(AR$4="Actuals",IF(AS$4="Actuals","",AS372),AR378)</f>
        <v>-13305282.2262183</v>
      </c>
      <c r="AS420" s="13" t="n">
        <f aca="false">IF(AS$4="Actuals",IF(AT$4="Actuals","",AT372),AS378)</f>
        <v>-13511635.3317753</v>
      </c>
      <c r="AT420" s="13" t="n">
        <f aca="false">IF(AT$4="Actuals",IF(AU$4="Actuals","",AU372),AT378)</f>
        <v>-13717988.4373323</v>
      </c>
      <c r="AU420" s="13" t="n">
        <f aca="false">IF(AU$4="Actuals",IF(AV$4="Actuals","",AV372),AU378)</f>
        <v>-13924341.5428892</v>
      </c>
      <c r="AV420" s="13" t="n">
        <f aca="false">IF(AV$4="Actuals",IF(AW$4="Actuals","",AW372),AV378)</f>
        <v>-14130694.6484462</v>
      </c>
      <c r="AW420" s="13" t="n">
        <f aca="false">IF(AW$4="Actuals",IF(AX$4="Actuals","",AX372),AW378)</f>
        <v>-14337047.7540031</v>
      </c>
      <c r="AX420" s="13" t="n">
        <f aca="false">IF(AX$4="Actuals",IF(AY$4="Actuals","",AY372),AX378)</f>
        <v>-18797326.5637894</v>
      </c>
      <c r="AY420" s="13" t="n">
        <f aca="false">IF(AY$4="Actuals",IF(AZ$4="Actuals","",AZ372),AY378)</f>
        <v>-19253679.6693463</v>
      </c>
      <c r="AZ420" s="13" t="n">
        <f aca="false">IF(AZ$4="Actuals",IF(BA$4="Actuals","",BA372),AZ378)</f>
        <v>-19460032.7749033</v>
      </c>
      <c r="BA420" s="13" t="n">
        <f aca="false">IF(BA$4="Actuals",IF(BB$4="Actuals","",BB372),BA378)</f>
        <v>-19670170.1825714</v>
      </c>
      <c r="BB420" s="13" t="n">
        <f aca="false">IF(BB$4="Actuals",IF(BC$4="Actuals","",BC372),BB378)</f>
        <v>-19880307.5902395</v>
      </c>
      <c r="BC420" s="13" t="n">
        <f aca="false">IF(BC$4="Actuals",IF(BD$4="Actuals","",BD372),BC378)</f>
        <v>-20090444.9979076</v>
      </c>
      <c r="BD420" s="13" t="n">
        <f aca="false">IF(BD$4="Actuals",IF(BE$4="Actuals","",BE372),BD378)</f>
        <v>-20300582.4055757</v>
      </c>
      <c r="BE420" s="13" t="n">
        <f aca="false">IF(BE$4="Actuals",IF(BF$4="Actuals","",BF372),BE378)</f>
        <v>-20510719.8132438</v>
      </c>
      <c r="BF420" s="13" t="n">
        <f aca="false">IF(BF$4="Actuals",IF(BG$4="Actuals","",BG372),BF378)</f>
        <v>-20720857.2209119</v>
      </c>
      <c r="BG420" s="13" t="n">
        <f aca="false">IF(BG$4="Actuals",IF(BH$4="Actuals","",BH372),BG378)</f>
        <v>-20930994.62858</v>
      </c>
      <c r="BH420" s="13" t="n">
        <f aca="false">IF(BH$4="Actuals",IF(BI$4="Actuals","",BI372),BH378)</f>
        <v>-21141132.0362481</v>
      </c>
      <c r="BI420" s="13" t="n">
        <f aca="false">IF(BI$4="Actuals",IF(BJ$4="Actuals","",BJ372),BI378)</f>
        <v>-21351269.4439162</v>
      </c>
      <c r="BJ420" s="13" t="n">
        <f aca="false">IF(BJ$4="Actuals",IF(BK$4="Actuals","",BK372),BJ378)</f>
        <v>-24863596.3060753</v>
      </c>
      <c r="BK420" s="13" t="n">
        <f aca="false">IF(BK$4="Actuals",IF(BL$4="Actuals","",BL372),BK378)</f>
        <v>-25323733.7137434</v>
      </c>
      <c r="BL420" s="13" t="n">
        <f aca="false">IF(BL$4="Actuals",IF(BM$4="Actuals","",BM372),BL378)</f>
        <v>-25533871.1214115</v>
      </c>
      <c r="BM420" s="13" t="n">
        <f aca="false">IF(BM$4="Actuals",IF(BN$4="Actuals","",BN372),BM378)</f>
        <v>-25747868.517233</v>
      </c>
      <c r="BN420" s="13" t="n">
        <f aca="false">IF(BN$4="Actuals",IF(BO$4="Actuals","",BO372),BN378)</f>
        <v>-25961865.9130545</v>
      </c>
      <c r="BO420" s="13" t="n">
        <f aca="false">IF(BO$4="Actuals",IF(BP$4="Actuals","",BP372),BO378)</f>
        <v>-26175863.3088759</v>
      </c>
      <c r="BP420" s="13" t="n">
        <f aca="false">IF(BP$4="Actuals",IF(BQ$4="Actuals","",BQ372),BP378)</f>
        <v>-26389860.7046974</v>
      </c>
      <c r="BQ420" s="13" t="n">
        <f aca="false">IF(BQ$4="Actuals",IF(BR$4="Actuals","",BR372),BQ378)</f>
        <v>-26603858.1005188</v>
      </c>
      <c r="BR420" s="13" t="n">
        <f aca="false">IF(BR$4="Actuals",IF(BS$4="Actuals","",BS372),BR378)</f>
        <v>-26764605.1463403</v>
      </c>
      <c r="BS420" s="13" t="n">
        <f aca="false">IF(BS$4="Actuals",IF(BT$4="Actuals","",BT372),BS378)</f>
        <v>-26978602.5421618</v>
      </c>
      <c r="BT420" s="13" t="n">
        <f aca="false">IF(BT$4="Actuals",IF(BU$4="Actuals","",BU372),BT378)</f>
        <v>-27192599.9379832</v>
      </c>
      <c r="BU420" s="13" t="n">
        <f aca="false">IF(BU$4="Actuals",IF(BV$4="Actuals","",BV372),BU378)</f>
        <v>-27338835.3338047</v>
      </c>
      <c r="BV420" s="13" t="n">
        <f aca="false">IF(BV$4="Actuals",IF(BW$4="Actuals","",BW372),BV378)</f>
        <v>-28711780.3493941</v>
      </c>
      <c r="BW420" s="13" t="n">
        <f aca="false">IF(BW$4="Actuals",IF(BX$4="Actuals","",BX372),BW378)</f>
        <v>-28925777.7452155</v>
      </c>
      <c r="BX420" s="13" t="n">
        <f aca="false">IF(BX$4="Actuals",IF(BY$4="Actuals","",BY372),BX378)</f>
        <v>-29072013.141037</v>
      </c>
      <c r="BY420" s="13" t="n">
        <f aca="false">IF(BY$4="Actuals",IF(BZ$4="Actuals","",BZ372),BY378)</f>
        <v>-29289947.7247749</v>
      </c>
      <c r="BZ420" s="13" t="n">
        <f aca="false">IF(BZ$4="Actuals",IF(CA$4="Actuals","",CA372),BZ378)</f>
        <v>-29507882.3085128</v>
      </c>
      <c r="CA420" s="13" t="n">
        <f aca="false">IF(CA$4="Actuals",IF(CB$4="Actuals","",CB372),CA378)</f>
        <v>-29658054.8922506</v>
      </c>
      <c r="CB420" s="13" t="n">
        <f aca="false">IF(CB$4="Actuals",IF(CC$4="Actuals","",CC372),CB378)</f>
        <v>-29875989.4759885</v>
      </c>
      <c r="CC420" s="13" t="n">
        <f aca="false">IF(CC$4="Actuals",IF(CD$4="Actuals","",CD372),CC378)</f>
        <v>-30093924.0597264</v>
      </c>
      <c r="CD420" s="13" t="n">
        <f aca="false">IF(CD$4="Actuals",IF(CE$4="Actuals","",CE372),CD378)</f>
        <v>-30235359.6434643</v>
      </c>
      <c r="CE420" s="13" t="n">
        <f aca="false">IF(CE$4="Actuals",IF(CF$4="Actuals","",CF372),CE378)</f>
        <v>-30453294.2272022</v>
      </c>
      <c r="CF420" s="13" t="n">
        <f aca="false">IF(CF$4="Actuals",IF(CG$4="Actuals","",CG372),CF378)</f>
        <v>-30671228.8109401</v>
      </c>
      <c r="CG420" s="13" t="n">
        <f aca="false">IF(CG$4="Actuals",IF(CH$4="Actuals","",CH372),CG378)</f>
        <v>-30812664.394678</v>
      </c>
      <c r="CH420" s="13" t="n">
        <f aca="false">IF(CH$4="Actuals",IF(CI$4="Actuals","",CI372),CH378)</f>
        <v>-31030598.9784159</v>
      </c>
      <c r="CI420" s="13" t="n">
        <f aca="false">IF(CI$4="Actuals",IF(CJ$4="Actuals","",CJ372),CI378)</f>
        <v>-31248533.5621538</v>
      </c>
      <c r="CJ420" s="13" t="n">
        <f aca="false">IF(CJ$4="Actuals",IF(CK$4="Actuals","",CK372),CJ378)</f>
        <v>-31383361.1192852</v>
      </c>
      <c r="CK420" s="13" t="n">
        <f aca="false">IF(CK$4="Actuals",IF(CL$4="Actuals","",CL372),CK378)</f>
        <v>-31447450.6346978</v>
      </c>
      <c r="CL420" s="13" t="n">
        <f aca="false">IF(CL$4="Actuals",IF(CM$4="Actuals","",CM372),CL378)</f>
        <v>-31511540.1501105</v>
      </c>
      <c r="CM420" s="13" t="n">
        <f aca="false">IF(CM$4="Actuals",IF(CN$4="Actuals","",CN372),CM378)</f>
        <v>-31575629.6655231</v>
      </c>
      <c r="CN420" s="13" t="n">
        <f aca="false">IF(CN$4="Actuals",IF(CO$4="Actuals","",CO372),CN378)</f>
        <v>-31639719.1809358</v>
      </c>
      <c r="CO420" s="13" t="n">
        <f aca="false">IF(CO$4="Actuals",IF(CP$4="Actuals","",CP372),CO378)</f>
        <v>-31703808.6963484</v>
      </c>
      <c r="CP420" s="13" t="n">
        <f aca="false">IF(CP$4="Actuals",IF(CQ$4="Actuals","",CQ372),CP378)</f>
        <v>-31767898.2117611</v>
      </c>
      <c r="CQ420" s="13" t="n">
        <f aca="false">IF(CQ$4="Actuals",IF(CR$4="Actuals","",CR372),CQ378)</f>
        <v>-31831987.7271737</v>
      </c>
      <c r="CR420" s="13" t="n">
        <f aca="false">IF(CR$4="Actuals",IF(CS$4="Actuals","",CS372),CR378)</f>
        <v>-31896077.2425864</v>
      </c>
      <c r="CS420" s="13" t="n">
        <f aca="false">IF(CS$4="Actuals",IF(CT$4="Actuals","",CT372),CS378)</f>
        <v>-31960166.757999</v>
      </c>
      <c r="CT420" s="13" t="n">
        <f aca="false">IF(CT$4="Actuals",IF(CU$4="Actuals","",CU372),CT378)</f>
        <v>-32018345.3284135</v>
      </c>
      <c r="CU420" s="13" t="n">
        <f aca="false">IF(CU$4="Actuals",IF(CV$4="Actuals","",CV372),CU378)</f>
        <v>-32076523.8988281</v>
      </c>
      <c r="CV420" s="13" t="n">
        <f aca="false">IF(CV$4="Actuals",IF(CW$4="Actuals","",CW372),CV378)</f>
        <v>-32134702.4692426</v>
      </c>
      <c r="CW420" s="13" t="n">
        <f aca="false">IF(CW$4="Actuals",IF(CX$4="Actuals","",CX372),CW378)</f>
        <v>-32141150.9200019</v>
      </c>
      <c r="CX420" s="13" t="n">
        <f aca="false">IF(CX$4="Actuals",IF(CY$4="Actuals","",CY372),CX378)</f>
        <v>-32130152.5218247</v>
      </c>
      <c r="CY420" s="13" t="n">
        <f aca="false">IF(CY$4="Actuals",IF(CZ$4="Actuals","",CZ372),CY378)</f>
        <v>-32119154.1236475</v>
      </c>
      <c r="CZ420" s="13" t="n">
        <f aca="false">IF(CZ$4="Actuals",IF(DA$4="Actuals","",DA372),CZ378)</f>
        <v>-32108155.7254703</v>
      </c>
      <c r="DA420" s="13" t="n">
        <f aca="false">IF(DA$4="Actuals",IF(DB$4="Actuals","",DB372),DA378)</f>
        <v>-32097157.3272932</v>
      </c>
      <c r="DB420" s="13" t="n">
        <f aca="false">IF(DB$4="Actuals",IF(DC$4="Actuals","",DC372),DB378)</f>
        <v>-32086158.929116</v>
      </c>
      <c r="DC420" s="13" t="n">
        <f aca="false">IF(DC$4="Actuals",IF(DD$4="Actuals","",DD372),DC378)</f>
        <v>-32075160.5309388</v>
      </c>
      <c r="DD420" s="13" t="n">
        <f aca="false">IF(DD$4="Actuals",IF(DE$4="Actuals","",DE372),DD378)</f>
        <v>-32064162.1327616</v>
      </c>
      <c r="DE420" s="13" t="n">
        <f aca="false">IF(DE$4="Actuals",IF(DF$4="Actuals","",DF372),DE378)</f>
        <v>-32053163.7345845</v>
      </c>
    </row>
    <row r="421" customFormat="false" ht="1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5" hidden="false" customHeight="true" outlineLevel="0" collapsed="false">
      <c r="A423" s="22" t="s">
        <v>232</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1880631.50321667</v>
      </c>
      <c r="L428" s="13" t="n">
        <f aca="false">IF(L$4="Actuals",IF(M$4="Actuals","",M381),L383)</f>
        <v>1886984.13093333</v>
      </c>
      <c r="M428" s="13" t="n">
        <f aca="false">IF(M$4="Actuals",IF(N$4="Actuals","",N381),M383)</f>
        <v>1657677.36518794</v>
      </c>
      <c r="N428" s="13" t="n">
        <f aca="false">IF(N$4="Actuals",IF(O$4="Actuals","",O381),N383)</f>
        <v>268888.821386755</v>
      </c>
      <c r="O428" s="13" t="n">
        <f aca="false">IF(O$4="Actuals",IF(P$4="Actuals","",P381),O383)</f>
        <v>311536.087698188</v>
      </c>
      <c r="P428" s="13" t="n">
        <f aca="false">IF(P$4="Actuals",IF(Q$4="Actuals","",Q381),P383)</f>
        <v>423756.528523571</v>
      </c>
      <c r="Q428" s="13" t="n">
        <f aca="false">IF(Q$4="Actuals",IF(R$4="Actuals","",R381),Q383)</f>
        <v>509480.577169569</v>
      </c>
      <c r="R428" s="13" t="n">
        <f aca="false">IF(R$4="Actuals",IF(S$4="Actuals","",S381),R383)</f>
        <v>304319.639504496</v>
      </c>
      <c r="S428" s="13" t="n">
        <f aca="false">IF(S$4="Actuals",IF(T$4="Actuals","",T381),S383)</f>
        <v>288843.365800784</v>
      </c>
      <c r="T428" s="13" t="n">
        <f aca="false">IF(T$4="Actuals",IF(U$4="Actuals","",U381),T383)</f>
        <v>-183672.001710243</v>
      </c>
      <c r="U428" s="13" t="n">
        <f aca="false">IF(U$4="Actuals",IF(V$4="Actuals","",V381),U383)</f>
        <v>203669.351943755</v>
      </c>
      <c r="V428" s="13" t="n">
        <f aca="false">IF(V$4="Actuals",IF(W$4="Actuals","",W381),V383)</f>
        <v>536949.878492517</v>
      </c>
      <c r="W428" s="13" t="n">
        <f aca="false">IF(W$4="Actuals",IF(X$4="Actuals","",X381),W383)</f>
        <v>750639.804144328</v>
      </c>
      <c r="X428" s="13" t="n">
        <f aca="false">IF(X$4="Actuals",IF(Y$4="Actuals","",Y381),X383)</f>
        <v>770925.948377824</v>
      </c>
      <c r="Y428" s="13" t="n">
        <f aca="false">IF(Y$4="Actuals",IF(Z$4="Actuals","",Z381),Y383)</f>
        <v>1308414.8228823</v>
      </c>
      <c r="Z428" s="13" t="n">
        <f aca="false">IF(Z$4="Actuals",IF(AA$4="Actuals","",AA381),Z383)</f>
        <v>371572.812053246</v>
      </c>
      <c r="AA428" s="13" t="n">
        <f aca="false">IF(AA$4="Actuals",IF(AB$4="Actuals","",AB381),AA383)</f>
        <v>666304.042507724</v>
      </c>
      <c r="AB428" s="13" t="n">
        <f aca="false">IF(AB$4="Actuals",IF(AC$4="Actuals","",AC381),AB383)</f>
        <v>1171484.25358398</v>
      </c>
      <c r="AC428" s="13" t="n">
        <f aca="false">IF(AC$4="Actuals",IF(AD$4="Actuals","",AD381),AC383)</f>
        <v>1456299.61084526</v>
      </c>
      <c r="AD428" s="13" t="n">
        <f aca="false">IF(AD$4="Actuals",IF(AE$4="Actuals","",AE381),AD383)</f>
        <v>1688580.78610654</v>
      </c>
      <c r="AE428" s="13" t="n">
        <f aca="false">IF(AE$4="Actuals",IF(AF$4="Actuals","",AF381),AE383)</f>
        <v>1993416.30532439</v>
      </c>
      <c r="AF428" s="13" t="n">
        <f aca="false">IF(AF$4="Actuals",IF(AG$4="Actuals","",AG381),AF383)</f>
        <v>1774972.78283784</v>
      </c>
      <c r="AG428" s="13" t="n">
        <f aca="false">IF(AG$4="Actuals",IF(AH$4="Actuals","",AH381),AG383)</f>
        <v>2352660.94739888</v>
      </c>
      <c r="AH428" s="13" t="n">
        <f aca="false">IF(AH$4="Actuals",IF(AI$4="Actuals","",AI381),AH383)</f>
        <v>2984650.95268879</v>
      </c>
      <c r="AI428" s="13" t="n">
        <f aca="false">IF(AI$4="Actuals",IF(AJ$4="Actuals","",AJ381),AI383)</f>
        <v>3586508.05588501</v>
      </c>
      <c r="AJ428" s="13" t="n">
        <f aca="false">IF(AJ$4="Actuals",IF(AK$4="Actuals","",AK381),AJ383)</f>
        <v>4236985.94073213</v>
      </c>
      <c r="AK428" s="13" t="n">
        <f aca="false">IF(AK$4="Actuals",IF(AL$4="Actuals","",AL381),AK383)</f>
        <v>4606214.61030657</v>
      </c>
      <c r="AL428" s="13" t="n">
        <f aca="false">IF(AL$4="Actuals",IF(AM$4="Actuals","",AM381),AL383)</f>
        <v>1710201.01247512</v>
      </c>
      <c r="AM428" s="13" t="n">
        <f aca="false">IF(AM$4="Actuals",IF(AN$4="Actuals","",AN381),AM383)</f>
        <v>1885850.53260187</v>
      </c>
      <c r="AN428" s="13" t="n">
        <f aca="false">IF(AN$4="Actuals",IF(AO$4="Actuals","",AO381),AN383)</f>
        <v>2762573.74764382</v>
      </c>
      <c r="AO428" s="13" t="n">
        <f aca="false">IF(AO$4="Actuals",IF(AP$4="Actuals","",AP381),AO383)</f>
        <v>3486298.2117885</v>
      </c>
      <c r="AP428" s="13" t="n">
        <f aca="false">IF(AP$4="Actuals",IF(AQ$4="Actuals","",AQ381),AP383)</f>
        <v>4111734.65195369</v>
      </c>
      <c r="AQ428" s="13" t="n">
        <f aca="false">IF(AQ$4="Actuals",IF(AR$4="Actuals","",AR381),AQ383)</f>
        <v>4349510.27723561</v>
      </c>
      <c r="AR428" s="13" t="n">
        <f aca="false">IF(AR$4="Actuals",IF(AS$4="Actuals","",AS381),AR383)</f>
        <v>5004069.3003008</v>
      </c>
      <c r="AS428" s="13" t="n">
        <f aca="false">IF(AS$4="Actuals",IF(AT$4="Actuals","",AT381),AS383)</f>
        <v>5696128.32336598</v>
      </c>
      <c r="AT428" s="13" t="n">
        <f aca="false">IF(AT$4="Actuals",IF(AU$4="Actuals","",AU381),AT383)</f>
        <v>6410400.72259834</v>
      </c>
      <c r="AU428" s="13" t="n">
        <f aca="false">IF(AU$4="Actuals",IF(AV$4="Actuals","",AV381),AU383)</f>
        <v>7229129.45250888</v>
      </c>
      <c r="AV428" s="13" t="n">
        <f aca="false">IF(AV$4="Actuals",IF(AW$4="Actuals","",AW381),AV383)</f>
        <v>8287145.48764567</v>
      </c>
      <c r="AW428" s="13" t="n">
        <f aca="false">IF(AW$4="Actuals",IF(AX$4="Actuals","",AX381),AW383)</f>
        <v>9195298.10915124</v>
      </c>
      <c r="AX428" s="13" t="n">
        <f aca="false">IF(AX$4="Actuals",IF(AY$4="Actuals","",AY381),AX383)</f>
        <v>5444760.7524768</v>
      </c>
      <c r="AY428" s="13" t="n">
        <f aca="false">IF(AY$4="Actuals",IF(AZ$4="Actuals","",AZ381),AY383)</f>
        <v>5728079.24645324</v>
      </c>
      <c r="AZ428" s="13" t="n">
        <f aca="false">IF(AZ$4="Actuals",IF(BA$4="Actuals","",BA381),AZ383)</f>
        <v>6369777.01046031</v>
      </c>
      <c r="BA428" s="13" t="n">
        <f aca="false">IF(BA$4="Actuals",IF(BB$4="Actuals","",BB381),BA383)</f>
        <v>6950572.35182115</v>
      </c>
      <c r="BB428" s="13" t="n">
        <f aca="false">IF(BB$4="Actuals",IF(BC$4="Actuals","",BC381),BB383)</f>
        <v>7515127.78218013</v>
      </c>
      <c r="BC428" s="13" t="n">
        <f aca="false">IF(BC$4="Actuals",IF(BD$4="Actuals","",BD381),BC383)</f>
        <v>7856778.83389635</v>
      </c>
      <c r="BD428" s="13" t="n">
        <f aca="false">IF(BD$4="Actuals",IF(BE$4="Actuals","",BE381),BD383)</f>
        <v>8471867.11968501</v>
      </c>
      <c r="BE428" s="13" t="n">
        <f aca="false">IF(BE$4="Actuals",IF(BF$4="Actuals","",BF381),BE383)</f>
        <v>9085393.54984839</v>
      </c>
      <c r="BF428" s="13" t="n">
        <f aca="false">IF(BF$4="Actuals",IF(BG$4="Actuals","",BG381),BF383)</f>
        <v>9736557.72948453</v>
      </c>
      <c r="BG428" s="13" t="n">
        <f aca="false">IF(BG$4="Actuals",IF(BH$4="Actuals","",BH381),BG383)</f>
        <v>10350430.1656417</v>
      </c>
      <c r="BH428" s="13" t="n">
        <f aca="false">IF(BH$4="Actuals",IF(BI$4="Actuals","",BI381),BH383)</f>
        <v>11199351.1209208</v>
      </c>
      <c r="BI428" s="13" t="n">
        <f aca="false">IF(BI$4="Actuals",IF(BJ$4="Actuals","",BJ381),BI383)</f>
        <v>11845512.6197469</v>
      </c>
      <c r="BJ428" s="13" t="n">
        <f aca="false">IF(BJ$4="Actuals",IF(BK$4="Actuals","",BK381),BJ383)</f>
        <v>8938424.9992364</v>
      </c>
      <c r="BK428" s="13" t="n">
        <f aca="false">IF(BK$4="Actuals",IF(BL$4="Actuals","",BL381),BK383)</f>
        <v>8905991.75898613</v>
      </c>
      <c r="BL428" s="13" t="n">
        <f aca="false">IF(BL$4="Actuals",IF(BM$4="Actuals","",BM381),BL383)</f>
        <v>9133558.51873587</v>
      </c>
      <c r="BM428" s="13" t="n">
        <f aca="false">IF(BM$4="Actuals",IF(BN$4="Actuals","",BN381),BM383)</f>
        <v>9367698.54725684</v>
      </c>
      <c r="BN428" s="13" t="n">
        <f aca="false">IF(BN$4="Actuals",IF(BO$4="Actuals","",BO381),BN383)</f>
        <v>9743293.47291435</v>
      </c>
      <c r="BO428" s="13" t="n">
        <f aca="false">IF(BO$4="Actuals",IF(BP$4="Actuals","",BP381),BO383)</f>
        <v>9994854.56111923</v>
      </c>
      <c r="BP428" s="13" t="n">
        <f aca="false">IF(BP$4="Actuals",IF(BQ$4="Actuals","",BQ381),BP383)</f>
        <v>10113475.6837172</v>
      </c>
      <c r="BQ428" s="13" t="n">
        <f aca="false">IF(BQ$4="Actuals",IF(BR$4="Actuals","",BR381),BQ383)</f>
        <v>10257332.3375229</v>
      </c>
      <c r="BR428" s="13" t="n">
        <f aca="false">IF(BR$4="Actuals",IF(BS$4="Actuals","",BS381),BR383)</f>
        <v>10499422.6555623</v>
      </c>
      <c r="BS428" s="13" t="n">
        <f aca="false">IF(BS$4="Actuals",IF(BT$4="Actuals","",BT381),BS383)</f>
        <v>10772797.5268334</v>
      </c>
      <c r="BT428" s="13" t="n">
        <f aca="false">IF(BT$4="Actuals",IF(BU$4="Actuals","",BU381),BT383)</f>
        <v>10996749.7917577</v>
      </c>
      <c r="BU428" s="13" t="n">
        <f aca="false">IF(BU$4="Actuals",IF(BV$4="Actuals","",BV381),BU383)</f>
        <v>11188814.7674038</v>
      </c>
      <c r="BV428" s="13" t="n">
        <f aca="false">IF(BV$4="Actuals",IF(BW$4="Actuals","",BW381),BV383)</f>
        <v>10082788.6899439</v>
      </c>
      <c r="BW428" s="13" t="n">
        <f aca="false">IF(BW$4="Actuals",IF(BX$4="Actuals","",BX381),BW383)</f>
        <v>10086409.4049861</v>
      </c>
      <c r="BX428" s="13" t="n">
        <f aca="false">IF(BX$4="Actuals",IF(BY$4="Actuals","",BY381),BX383)</f>
        <v>10045367.9180567</v>
      </c>
      <c r="BY428" s="13" t="n">
        <f aca="false">IF(BY$4="Actuals",IF(BZ$4="Actuals","",BZ381),BY383)</f>
        <v>9844186.97345684</v>
      </c>
      <c r="BZ428" s="13" t="n">
        <f aca="false">IF(BZ$4="Actuals",IF(CA$4="Actuals","",CA381),BZ383)</f>
        <v>9596561.51269072</v>
      </c>
      <c r="CA428" s="13" t="n">
        <f aca="false">IF(CA$4="Actuals",IF(CB$4="Actuals","",CB381),CA383)</f>
        <v>9209023.57692459</v>
      </c>
      <c r="CB428" s="13" t="n">
        <f aca="false">IF(CB$4="Actuals",IF(CC$4="Actuals","",CC381),CB383)</f>
        <v>8573137.14115846</v>
      </c>
      <c r="CC428" s="13" t="n">
        <f aca="false">IF(CC$4="Actuals",IF(CD$4="Actuals","",CD381),CC383)</f>
        <v>7937250.70539234</v>
      </c>
      <c r="CD428" s="13" t="n">
        <f aca="false">IF(CD$4="Actuals",IF(CE$4="Actuals","",CE381),CD383)</f>
        <v>7377863.26962621</v>
      </c>
      <c r="CE428" s="13" t="n">
        <f aca="false">IF(CE$4="Actuals",IF(CF$4="Actuals","",CF381),CE383)</f>
        <v>6741976.83386008</v>
      </c>
      <c r="CF428" s="13" t="n">
        <f aca="false">IF(CF$4="Actuals",IF(CG$4="Actuals","",CG381),CF383)</f>
        <v>6106090.39809395</v>
      </c>
      <c r="CG428" s="13" t="n">
        <f aca="false">IF(CG$4="Actuals",IF(CH$4="Actuals","",CH381),CG383)</f>
        <v>5546702.96232783</v>
      </c>
      <c r="CH428" s="13" t="n">
        <f aca="false">IF(CH$4="Actuals",IF(CI$4="Actuals","",CI381),CH383)</f>
        <v>4910816.5265617</v>
      </c>
      <c r="CI428" s="13" t="n">
        <f aca="false">IF(CI$4="Actuals",IF(CJ$4="Actuals","",CJ381),CI383)</f>
        <v>4274930.09079557</v>
      </c>
      <c r="CJ428" s="13" t="n">
        <f aca="false">IF(CJ$4="Actuals",IF(CK$4="Actuals","",CK381),CJ383)</f>
        <v>3722150.68163593</v>
      </c>
      <c r="CK428" s="13" t="n">
        <f aca="false">IF(CK$4="Actuals",IF(CL$4="Actuals","",CL381),CK383)</f>
        <v>3232050.27715448</v>
      </c>
      <c r="CL428" s="13" t="n">
        <f aca="false">IF(CL$4="Actuals",IF(CM$4="Actuals","",CM381),CL383)</f>
        <v>2741949.87267302</v>
      </c>
      <c r="CM428" s="13" t="n">
        <f aca="false">IF(CM$4="Actuals",IF(CN$4="Actuals","",CN381),CM383)</f>
        <v>2251849.46819157</v>
      </c>
      <c r="CN428" s="13" t="n">
        <f aca="false">IF(CN$4="Actuals",IF(CO$4="Actuals","",CO381),CN383)</f>
        <v>1761749.06371012</v>
      </c>
      <c r="CO428" s="13" t="n">
        <f aca="false">IF(CO$4="Actuals",IF(CP$4="Actuals","",CP381),CO383)</f>
        <v>1271648.65922868</v>
      </c>
      <c r="CP428" s="13" t="n">
        <f aca="false">IF(CP$4="Actuals",IF(CQ$4="Actuals","",CQ381),CP383)</f>
        <v>781548.254747227</v>
      </c>
      <c r="CQ428" s="13" t="n">
        <f aca="false">IF(CQ$4="Actuals",IF(CR$4="Actuals","",CR381),CQ383)</f>
        <v>291447.850265779</v>
      </c>
      <c r="CR428" s="13" t="n">
        <f aca="false">IF(CR$4="Actuals",IF(CS$4="Actuals","",CS381),CR383)</f>
        <v>-198652.55421567</v>
      </c>
      <c r="CS428" s="13" t="n">
        <f aca="false">IF(CS$4="Actuals",IF(CT$4="Actuals","",CT381),CS383)</f>
        <v>-688752.958697118</v>
      </c>
      <c r="CT428" s="13" t="n">
        <f aca="false">IF(CT$4="Actuals",IF(CU$4="Actuals","",CU381),CT383)</f>
        <v>-1132589.60413843</v>
      </c>
      <c r="CU428" s="13" t="n">
        <f aca="false">IF(CU$4="Actuals",IF(CV$4="Actuals","",CV381),CU383)</f>
        <v>-1576426.24957974</v>
      </c>
      <c r="CV428" s="13" t="n">
        <f aca="false">IF(CV$4="Actuals",IF(CW$4="Actuals","",CW381),CV383)</f>
        <v>-2020262.89502106</v>
      </c>
      <c r="CW428" s="13" t="n">
        <f aca="false">IF(CW$4="Actuals",IF(CX$4="Actuals","",CX381),CW383)</f>
        <v>-2419782.5823076</v>
      </c>
      <c r="CX428" s="13" t="n">
        <f aca="false">IF(CX$4="Actuals",IF(CY$4="Actuals","",CY381),CX383)</f>
        <v>-2801855.42065774</v>
      </c>
      <c r="CY428" s="13" t="n">
        <f aca="false">IF(CY$4="Actuals",IF(CZ$4="Actuals","",CZ381),CY383)</f>
        <v>-3183928.25900788</v>
      </c>
      <c r="CZ428" s="13" t="n">
        <f aca="false">IF(CZ$4="Actuals",IF(DA$4="Actuals","",DA381),CZ383)</f>
        <v>-3566001.09735802</v>
      </c>
      <c r="DA428" s="13" t="n">
        <f aca="false">IF(DA$4="Actuals",IF(DB$4="Actuals","",DB381),DA383)</f>
        <v>-3948073.93570816</v>
      </c>
      <c r="DB428" s="13" t="n">
        <f aca="false">IF(DB$4="Actuals",IF(DC$4="Actuals","",DC381),DB383)</f>
        <v>-4330146.7740583</v>
      </c>
      <c r="DC428" s="13" t="n">
        <f aca="false">IF(DC$4="Actuals",IF(DD$4="Actuals","",DD381),DC383)</f>
        <v>-4712219.61240844</v>
      </c>
      <c r="DD428" s="13" t="n">
        <f aca="false">IF(DD$4="Actuals",IF(DE$4="Actuals","",DE381),DD383)</f>
        <v>-5094292.45075858</v>
      </c>
      <c r="DE428" s="13" t="n">
        <f aca="false">IF(DE$4="Actuals",IF(DF$4="Actuals","",DF381),DE383)</f>
        <v>-5476365.28910872</v>
      </c>
    </row>
    <row r="429" customFormat="false" ht="1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5" hidden="false" customHeight="true" outlineLevel="0" collapsed="false">
      <c r="A431" s="22" t="s">
        <v>232</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1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5" hidden="false" customHeight="true" outlineLevel="0" collapsed="false">
      <c r="A446" s="22" t="s">
        <v>247</v>
      </c>
      <c r="B446" s="73" t="n">
        <v>417159</v>
      </c>
      <c r="C446" s="73" t="n">
        <v>552746</v>
      </c>
      <c r="D446" s="73" t="n">
        <v>682719</v>
      </c>
      <c r="E446" s="73" t="n">
        <v>863823</v>
      </c>
      <c r="F446" s="73" t="n">
        <v>1075205</v>
      </c>
      <c r="G446" s="73" t="n">
        <v>1343596</v>
      </c>
      <c r="H446" s="73" t="n">
        <v>1609222</v>
      </c>
      <c r="I446" s="1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5" hidden="false" customHeight="true" outlineLevel="0" collapsed="false">
      <c r="A447" s="22" t="s">
        <v>248</v>
      </c>
      <c r="B447" s="73" t="n">
        <v>0</v>
      </c>
      <c r="C447" s="73" t="n">
        <v>0</v>
      </c>
      <c r="D447" s="73" t="n">
        <v>0</v>
      </c>
      <c r="E447" s="73" t="n">
        <v>0</v>
      </c>
      <c r="F447" s="73" t="n">
        <v>0</v>
      </c>
      <c r="G447" s="73" t="n">
        <v>0</v>
      </c>
      <c r="H447" s="73" t="n">
        <v>96097</v>
      </c>
      <c r="I447" s="1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1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250</v>
      </c>
      <c r="B449" s="73" t="n">
        <v>246844</v>
      </c>
      <c r="C449" s="73" t="n">
        <v>362001</v>
      </c>
      <c r="D449" s="73" t="n">
        <v>458628</v>
      </c>
      <c r="E449" s="73" t="n">
        <v>625437</v>
      </c>
      <c r="F449" s="73" t="n">
        <v>812294</v>
      </c>
      <c r="G449" s="73" t="n">
        <v>1055651</v>
      </c>
      <c r="H449" s="73" t="n">
        <v>1280305</v>
      </c>
      <c r="I449" s="1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3681812.99873443</v>
      </c>
      <c r="C4" s="13" t="n">
        <f aca="false">SUM(Model!N10:Y10)</f>
        <v>7623790.7662698</v>
      </c>
      <c r="D4" s="13" t="n">
        <f aca="false">SUM(Model!Z10:AK10)</f>
        <v>9492419.07723438</v>
      </c>
      <c r="E4" s="13" t="n">
        <f aca="false">SUM(Model!AL10:AW10)</f>
        <v>11087521.5889472</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284</v>
      </c>
      <c r="B5" s="13" t="n">
        <f aca="false">SUM(Model!B11:M11)</f>
        <v>2737664.16050671</v>
      </c>
      <c r="C5" s="13" t="n">
        <f aca="false">SUM(Model!N11:Y11)</f>
        <v>5782783.60269055</v>
      </c>
      <c r="D5" s="13" t="n">
        <f aca="false">SUM(Model!Z11:AK11)</f>
        <v>7181874.64992888</v>
      </c>
      <c r="E5" s="13" t="n">
        <f aca="false">SUM(Model!AL11:AW11)</f>
        <v>8322795.63820919</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285</v>
      </c>
      <c r="B6" s="13" t="n">
        <f aca="false">SUM(Model!B57:M57)</f>
        <v>50287202.7340432</v>
      </c>
      <c r="C6" s="13" t="n">
        <f aca="false">SUM(Model!N57:Y57)</f>
        <v>99245780.0619065</v>
      </c>
      <c r="D6" s="13" t="n">
        <f aca="false">SUM(Model!Z57:AK57)</f>
        <v>130739849.764137</v>
      </c>
      <c r="E6" s="13" t="n">
        <f aca="false">SUM(Model!AL57:AW57)</f>
        <v>146500110.262848</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56706679.8932844</v>
      </c>
      <c r="C7" s="30" t="n">
        <f aca="false">SUM(Model!N58:Y58)</f>
        <v>112652354.430867</v>
      </c>
      <c r="D7" s="30" t="n">
        <f aca="false">SUM(Model!Z58:AK58)</f>
        <v>147414143.491301</v>
      </c>
      <c r="E7" s="30" t="n">
        <f aca="false">SUM(Model!AL58:AW58)</f>
        <v>165910427.490004</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-50129366.3540432</v>
      </c>
      <c r="C8" s="13" t="n">
        <f aca="false">SUM(Model!N104:Y104)</f>
        <v>-99753251.8919065</v>
      </c>
      <c r="D8" s="13" t="n">
        <f aca="false">SUM(Model!Z104:AK104)</f>
        <v>-130734070.974137</v>
      </c>
      <c r="E8" s="13" t="n">
        <f aca="false">SUM(Model!AL104:AW104)</f>
        <v>-146499395.882848</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1529474.85221675</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-376823.155309729</v>
      </c>
      <c r="C10" s="13" t="n">
        <f aca="false">SUM(Model!N196:Y196)</f>
        <v>-1834095.26028325</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288</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289</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6199232.91393141</v>
      </c>
      <c r="C13" s="32" t="n">
        <f aca="false">SUM(Model!N199:Y199)</f>
        <v>11057704.1586771</v>
      </c>
      <c r="D13" s="32" t="n">
        <f aca="false">SUM(Model!Z199:AK199)</f>
        <v>15675595.2610549</v>
      </c>
      <c r="E13" s="32" t="n">
        <f aca="false">SUM(Model!AL199:AW199)</f>
        <v>19091327.0793732</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0.109321034587066</v>
      </c>
      <c r="C14" s="78" t="n">
        <f aca="false">IFERROR(C13/C7,0)</f>
        <v>0.0981577723301208</v>
      </c>
      <c r="D14" s="78" t="n">
        <f aca="false">IFERROR(D13/D7,0)</f>
        <v>0.106337118608839</v>
      </c>
      <c r="E14" s="78" t="n">
        <f aca="false">IFERROR(E13/E7,0)</f>
        <v>0.115070085516616</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-2988227.309</v>
      </c>
      <c r="C17" s="13" t="n">
        <f aca="false">SUM(Model!N203:Y204)+SUM(Model!N206:Y210)</f>
        <v>-5553715.91054</v>
      </c>
      <c r="D17" s="13" t="n">
        <f aca="false">SUM(Model!Z203:AK204)+SUM(Model!Z206:AK210)</f>
        <v>-6082471.3037508</v>
      </c>
      <c r="E17" s="13" t="n">
        <f aca="false">SUM(Model!AL203:AW204)+SUM(Model!AL206:AW210)</f>
        <v>-6760995.84421582</v>
      </c>
      <c r="F17" s="13" t="n">
        <f aca="false">SUM(Model!AX203:BI204)+SUM(Model!AX206:BI210)</f>
        <v>-6431669.65097273</v>
      </c>
      <c r="G17" s="13" t="n">
        <f aca="false">SUM(Model!BJ203:BU204)+SUM(Model!BJ206:BU210)</f>
        <v>-5214490.2164637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-1057258.75</v>
      </c>
      <c r="C18" s="13" t="n">
        <f aca="false">SUM(Model!N211:Y233)+SUM(Model!N235:Y235)</f>
        <v>-886588.7688</v>
      </c>
      <c r="D18" s="13" t="n">
        <f aca="false">SUM(Model!Z211:AK233)+SUM(Model!Z235:AK235)</f>
        <v>-801848.044176</v>
      </c>
      <c r="E18" s="13" t="n">
        <f aca="false">SUM(Model!AL211:AW233)+SUM(Model!AL235:AW235)</f>
        <v>-842597.50505952</v>
      </c>
      <c r="F18" s="13" t="n">
        <f aca="false">SUM(Model!AX211:BI233)+SUM(Model!AX235:BI235)</f>
        <v>-869909.262853018</v>
      </c>
      <c r="G18" s="13" t="n">
        <f aca="false">SUM(Model!BJ211:BU233)+SUM(Model!BJ235:BU235)</f>
        <v>-971884.371187002</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-62565.82645</v>
      </c>
      <c r="D20" s="13" t="n">
        <f aca="false">SUM(Model!Z234:AK234)</f>
        <v>-210000</v>
      </c>
      <c r="E20" s="13" t="n">
        <f aca="false">SUM(Model!AL234:AW234)</f>
        <v>-565518.007818151</v>
      </c>
      <c r="F20" s="13" t="n">
        <f aca="false">SUM(Model!AX234:BI234)</f>
        <v>-1110759.40366336</v>
      </c>
      <c r="G20" s="13" t="n">
        <f aca="false">SUM(Model!BJ234:BU234)</f>
        <v>-360834.412303904</v>
      </c>
      <c r="H20" s="13" t="n">
        <f aca="false">SUM(Model!BV234:CG234)</f>
        <v>-167978.942483162</v>
      </c>
      <c r="I20" s="13" t="n">
        <f aca="false">SUM(Model!CH234:CS234)</f>
        <v>0</v>
      </c>
      <c r="J20" s="13" t="n">
        <f aca="false">SUM(Model!CT234:DE234)</f>
        <v>0</v>
      </c>
    </row>
    <row r="21" customFormat="false" ht="15" hidden="false" customHeight="true" outlineLevel="0" collapsed="false">
      <c r="A21" s="29" t="s">
        <v>97</v>
      </c>
      <c r="B21" s="30" t="n">
        <f aca="false">SUM(Model!B236:M236)</f>
        <v>-4050928.469</v>
      </c>
      <c r="C21" s="30" t="n">
        <f aca="false">SUM(Model!N236:Y236)</f>
        <v>-6502870.50579</v>
      </c>
      <c r="D21" s="30" t="n">
        <f aca="false">SUM(Model!Z236:AK236)</f>
        <v>-7094319.3479268</v>
      </c>
      <c r="E21" s="30" t="n">
        <f aca="false">SUM(Model!AL236:AW236)</f>
        <v>-8169111.35709349</v>
      </c>
      <c r="F21" s="30" t="n">
        <f aca="false">SUM(Model!AX236:BI236)</f>
        <v>-8412338.31748911</v>
      </c>
      <c r="G21" s="30" t="n">
        <f aca="false">SUM(Model!BJ236:BU236)</f>
        <v>-6547208.99995461</v>
      </c>
      <c r="H21" s="30" t="n">
        <f aca="false">SUM(Model!BV236:CG236)</f>
        <v>-5159698.11670271</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2148304.44493141</v>
      </c>
      <c r="C22" s="30" t="n">
        <f aca="false">SUM(Model!N237:Y237)</f>
        <v>4554833.65288709</v>
      </c>
      <c r="D22" s="30" t="n">
        <f aca="false">SUM(Model!Z237:AK237)</f>
        <v>8581275.91312808</v>
      </c>
      <c r="E22" s="30" t="n">
        <f aca="false">SUM(Model!AL237:AW237)</f>
        <v>10922215.7222797</v>
      </c>
      <c r="F22" s="30" t="n">
        <f aca="false">SUM(Model!AX237:BI237)</f>
        <v>9075284.96081508</v>
      </c>
      <c r="G22" s="30" t="n">
        <f aca="false">SUM(Model!BJ237:BU237)</f>
        <v>4739447.25004539</v>
      </c>
      <c r="H22" s="30" t="n">
        <f aca="false">SUM(Model!BV237:CG237)</f>
        <v>-3227422.5667027</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0.0378845040650287</v>
      </c>
      <c r="C23" s="78" t="n">
        <f aca="false">IFERROR(C22/C7,0)</f>
        <v>0.040432653857069</v>
      </c>
      <c r="D23" s="78" t="n">
        <f aca="false">IFERROR(D22/D7,0)</f>
        <v>0.0582120257248891</v>
      </c>
      <c r="E23" s="78" t="n">
        <f aca="false">IFERROR(E22/E7,0)</f>
        <v>0.0658320027711201</v>
      </c>
      <c r="F23" s="78" t="n">
        <f aca="false">IFERROR(F22/F7,0)</f>
        <v>0.066028229743925</v>
      </c>
      <c r="G23" s="78" t="n">
        <f aca="false">IFERROR(G22/G7,0)</f>
        <v>0.0466589671381001</v>
      </c>
      <c r="H23" s="78" t="n">
        <f aca="false">IFERROR(H22/H7,0)</f>
        <v>-0.382540080459527</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-2428227.65</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-3134874.4411054</v>
      </c>
      <c r="I26" s="13" t="n">
        <f aca="false">Model!CH292+Model!CI292+Model!CJ292+Model!CK292+Model!CL292+Model!CM292+Model!CN292+Model!CO292+Model!CP292+Model!CQ292+Model!CR292+Model!CS292</f>
        <v>-3457662.36332103</v>
      </c>
      <c r="J26" s="13" t="n">
        <f aca="false">Model!CT292+Model!CU292+Model!CV292+Model!CW292+Model!CX292+Model!CY292+Model!CZ292+Model!DA292+Model!DB292+Model!DC292+Model!DD292+Model!DE292</f>
        <v>-2865188.97658546</v>
      </c>
    </row>
    <row r="27" customFormat="false" ht="15" hidden="false" customHeight="true" outlineLevel="0" collapsed="false">
      <c r="A27" s="36" t="s">
        <v>138</v>
      </c>
      <c r="B27" s="37" t="n">
        <f aca="false">Model!E293+Model!F293+Model!G293+Model!H293+Model!I293+Model!J293+Model!K293+Model!L293+Model!M293+Model!B293+Model!C293+Model!D293</f>
        <v>-1514955.34</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-92996.9765854594</v>
      </c>
    </row>
    <row r="28" customFormat="false" ht="15" hidden="false" customHeight="true" outlineLevel="0" collapsed="false">
      <c r="A28" s="22" t="s">
        <v>294</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636673.29358141</v>
      </c>
      <c r="C30" s="37" t="n">
        <f aca="false">Model!N308+Model!O308+Model!P308+Model!Q308+Model!R308+Model!S308+Model!T308+Model!U308+Model!V308+Model!W308+Model!X308+Model!Y308</f>
        <v>2565823.38326746</v>
      </c>
      <c r="D30" s="37" t="n">
        <f aca="false">Model!Z308+Model!AA308+Model!AB308+Model!AC308+Model!AD308+Model!AE308+Model!AF308+Model!AG308+Model!AH308+Model!AI308+Model!AJ308+Model!AK308</f>
        <v>6408090.32794871</v>
      </c>
      <c r="E30" s="37" t="n">
        <f aca="false">Model!AL308+Model!AM308+Model!AN308+Model!AO308+Model!AP308+Model!AQ308+Model!AR308+Model!AS308+Model!AT308+Model!AU308+Model!AV308+Model!AW308</f>
        <v>8457108.75592304</v>
      </c>
      <c r="F30" s="37" t="n">
        <f aca="false">Model!AX308+Model!AY308+Model!AZ308+Model!BA308+Model!BB308+Model!BC308+Model!BD308+Model!BE308+Model!BF308+Model!BG308+Model!BH308+Model!BI308</f>
        <v>6564988.97513131</v>
      </c>
      <c r="G30" s="37" t="n">
        <f aca="false">Model!BJ308+Model!BK308+Model!BL308+Model!BM308+Model!BN308+Model!BO308+Model!BP308+Model!BQ308+Model!BR308+Model!BS308+Model!BT308+Model!BU308</f>
        <v>2304070.81464794</v>
      </c>
      <c r="H30" s="37" t="n">
        <f aca="false">Model!BV308+Model!BW308+Model!BX308+Model!BY308+Model!BZ308+Model!CA308+Model!CB308+Model!CC308+Model!CD308+Model!CE308+Model!CF308+Model!CG308</f>
        <v>-5542304.0078081</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-4787612.3304116</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-250000</v>
      </c>
      <c r="G42" s="13" t="n">
        <f aca="false">Model!BJ322+Model!BK322+Model!BL322+Model!BM322+Model!BN322+Model!BO322+Model!BP322+Model!BQ322+Model!BR322+Model!BS322+Model!BT322+Model!BU322</f>
        <v>-250000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500000</v>
      </c>
      <c r="F43" s="13" t="n">
        <f aca="false">Model!BI323</f>
        <v>250000</v>
      </c>
      <c r="G43" s="13" t="n">
        <f aca="false">Model!BU323</f>
        <v>0</v>
      </c>
      <c r="H43" s="13" t="n">
        <f aca="false">Model!CG323</f>
        <v>0</v>
      </c>
      <c r="I43" s="13" t="n">
        <f aca="false">Model!CS323</f>
        <v>0</v>
      </c>
      <c r="J43" s="13" t="n">
        <f aca="false">Model!DE323</f>
        <v>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114921954.782205</v>
      </c>
      <c r="D47" s="13" t="n">
        <f aca="false">Model!AK356</f>
        <v>69149692.430782</v>
      </c>
      <c r="E47" s="13" t="n">
        <f aca="false">Model!AW356</f>
        <v>27179280.501624</v>
      </c>
      <c r="F47" s="13" t="n">
        <f aca="false">Model!BI356</f>
        <v>23231535</v>
      </c>
      <c r="G47" s="13" t="n">
        <f aca="false">Model!BU356</f>
        <v>2975850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1835177.82653794</v>
      </c>
      <c r="C49" s="83" t="n">
        <f aca="false">Model!Y369</f>
        <v>4355172.22052338</v>
      </c>
      <c r="D49" s="83" t="n">
        <f aca="false">Model!AK369</f>
        <v>12710766.7549105</v>
      </c>
      <c r="E49" s="83" t="n">
        <f aca="false">Model!AW369</f>
        <v>23532345.8631544</v>
      </c>
      <c r="F49" s="83" t="n">
        <f aca="false">Model!BI369</f>
        <v>33196782.0636631</v>
      </c>
      <c r="G49" s="83" t="n">
        <f aca="false">Model!BU369</f>
        <v>38527650.1012085</v>
      </c>
      <c r="H49" s="83" t="n">
        <f aca="false">Model!CG369</f>
        <v>36359367.3570058</v>
      </c>
      <c r="I49" s="83" t="n">
        <f aca="false">Model!CS369</f>
        <v>31271413.7993019</v>
      </c>
      <c r="J49" s="83" t="n">
        <f aca="false">Model!DE369</f>
        <v>26576798.4454758</v>
      </c>
    </row>
    <row r="50" customFormat="false" ht="15" hidden="false" customHeight="true" outlineLevel="0" collapsed="false">
      <c r="A50" s="82" t="s">
        <v>310</v>
      </c>
      <c r="B50" s="83" t="n">
        <f aca="false">Model!M378</f>
        <v>-177500.46135</v>
      </c>
      <c r="C50" s="83" t="n">
        <f aca="false">Model!Y378</f>
        <v>-3046757.39764108</v>
      </c>
      <c r="D50" s="83" t="n">
        <f aca="false">Model!AK378</f>
        <v>-8104552.14460398</v>
      </c>
      <c r="E50" s="83" t="n">
        <f aca="false">Model!AW378</f>
        <v>-14337047.7540031</v>
      </c>
      <c r="F50" s="83" t="n">
        <f aca="false">Model!BI378</f>
        <v>-21351269.4439162</v>
      </c>
      <c r="G50" s="83" t="n">
        <f aca="false">Model!BU378</f>
        <v>-27338835.3338047</v>
      </c>
      <c r="H50" s="83" t="n">
        <f aca="false">Model!CG378</f>
        <v>-30812664.394678</v>
      </c>
      <c r="I50" s="83" t="n">
        <f aca="false">Model!CS378</f>
        <v>-31960166.757999</v>
      </c>
      <c r="J50" s="83" t="n">
        <f aca="false">Model!DE378</f>
        <v>-32053163.7345845</v>
      </c>
    </row>
    <row r="51" customFormat="false" ht="15" hidden="false" customHeight="true" outlineLevel="0" collapsed="false">
      <c r="A51" s="82" t="s">
        <v>311</v>
      </c>
      <c r="B51" s="83" t="n">
        <f aca="false">Model!E382+Model!F382+Model!G382+Model!H382+Model!I382+Model!J382+Model!K382+Model!L382+Model!M382+Model!B382+Model!C382+Model!D382</f>
        <v>0</v>
      </c>
      <c r="C51" s="83" t="n">
        <f aca="false">Model!N382+Model!O382+Model!P382+Model!Q382+Model!R382+Model!S382+Model!T382+Model!U382+Model!V382+Model!W382+Model!X382+Model!Y382</f>
        <v>-320246.666671449</v>
      </c>
      <c r="D51" s="83" t="n">
        <f aca="false">Model!Z382+Model!AA382+Model!AB382+Model!AC382+Model!AD382+Model!AE382+Model!AF382+Model!AG382+Model!AH382+Model!AI382+Model!AJ382+Model!AK382</f>
        <v>-1290609.16178353</v>
      </c>
      <c r="E51" s="83" t="n">
        <f aca="false">Model!AL382+Model!AM382+Model!AN382+Model!AO382+Model!AP382+Model!AQ382+Model!AR382+Model!AS382+Model!AT382+Model!AU382+Model!AV382+Model!AW382</f>
        <v>-3223269.4349582</v>
      </c>
      <c r="F51" s="83" t="n">
        <f aca="false">Model!AX382+Model!AY382+Model!AZ382+Model!BA382+Model!BB382+Model!BC382+Model!BD382+Model!BE382+Model!BF382+Model!BG382+Model!BH382+Model!BI382</f>
        <v>-4253925.70422929</v>
      </c>
      <c r="G51" s="83" t="n">
        <f aca="false">Model!BJ382+Model!BK382+Model!BL382+Model!BM382+Model!BN382+Model!BO382+Model!BP382+Model!BQ382+Model!BR382+Model!BS382+Model!BT382+Model!BU382</f>
        <v>-3302189.45449105</v>
      </c>
      <c r="H51" s="83" t="n">
        <f aca="false">Model!BV382+Model!BW382+Model!BX382+Model!BY382+Model!BZ382+Model!CA382+Model!CB382+Model!CC382+Model!CD382+Model!CE382+Model!CF382+Model!CG382</f>
        <v>-1158947.61976791</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312</v>
      </c>
      <c r="B52" s="84" t="n">
        <f aca="false">Model!M383</f>
        <v>1657677.36518794</v>
      </c>
      <c r="C52" s="84" t="n">
        <f aca="false">Model!Y383</f>
        <v>1308414.8228823</v>
      </c>
      <c r="D52" s="84" t="n">
        <f aca="false">Model!AK383</f>
        <v>4606214.61030657</v>
      </c>
      <c r="E52" s="84" t="n">
        <f aca="false">Model!AW383</f>
        <v>9195298.10915124</v>
      </c>
      <c r="F52" s="84" t="n">
        <f aca="false">Model!BI383</f>
        <v>11845512.6197469</v>
      </c>
      <c r="G52" s="84" t="n">
        <f aca="false">Model!BU383</f>
        <v>11188814.7674038</v>
      </c>
      <c r="H52" s="84" t="n">
        <f aca="false">Model!CG383</f>
        <v>5546702.96232783</v>
      </c>
      <c r="I52" s="84" t="n">
        <f aca="false">Model!CS383</f>
        <v>-688752.958697118</v>
      </c>
      <c r="J52" s="84" t="n">
        <f aca="false">Model!DE383</f>
        <v>-5476365.28910872</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313</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314</v>
      </c>
      <c r="C2" s="86" t="s">
        <v>315</v>
      </c>
      <c r="D2" s="86" t="s">
        <v>316</v>
      </c>
      <c r="E2" s="86" t="s">
        <v>317</v>
      </c>
      <c r="F2" s="86" t="s">
        <v>318</v>
      </c>
      <c r="G2" s="86" t="s">
        <v>319</v>
      </c>
      <c r="H2" s="86" t="s">
        <v>320</v>
      </c>
      <c r="I2" s="86" t="s">
        <v>321</v>
      </c>
      <c r="J2" s="86" t="s">
        <v>322</v>
      </c>
      <c r="K2" s="86" t="s">
        <v>323</v>
      </c>
      <c r="L2" s="86" t="s">
        <v>324</v>
      </c>
      <c r="M2" s="86" t="s">
        <v>325</v>
      </c>
      <c r="N2" s="86" t="s">
        <v>326</v>
      </c>
      <c r="O2" s="86" t="s">
        <v>327</v>
      </c>
      <c r="P2" s="86" t="s">
        <v>328</v>
      </c>
      <c r="Q2" s="86" t="s">
        <v>329</v>
      </c>
      <c r="R2" s="86" t="s">
        <v>330</v>
      </c>
      <c r="S2" s="86" t="s">
        <v>331</v>
      </c>
      <c r="T2" s="86" t="s">
        <v>332</v>
      </c>
      <c r="U2" s="86" t="s">
        <v>333</v>
      </c>
      <c r="V2" s="86" t="s">
        <v>334</v>
      </c>
      <c r="W2" s="86" t="s">
        <v>335</v>
      </c>
      <c r="X2" s="86" t="s">
        <v>336</v>
      </c>
      <c r="Y2" s="86" t="s">
        <v>337</v>
      </c>
      <c r="Z2" s="86" t="s">
        <v>338</v>
      </c>
      <c r="AA2" s="86" t="s">
        <v>339</v>
      </c>
      <c r="AB2" s="86" t="s">
        <v>340</v>
      </c>
      <c r="AC2" s="86" t="s">
        <v>341</v>
      </c>
      <c r="AD2" s="86" t="s">
        <v>342</v>
      </c>
      <c r="AE2" s="86" t="s">
        <v>343</v>
      </c>
      <c r="AF2" s="86" t="s">
        <v>344</v>
      </c>
      <c r="AG2" s="86" t="s">
        <v>345</v>
      </c>
      <c r="AH2" s="86" t="s">
        <v>346</v>
      </c>
      <c r="AI2" s="86" t="s">
        <v>347</v>
      </c>
      <c r="AJ2" s="86" t="s">
        <v>348</v>
      </c>
      <c r="AK2" s="86" t="s">
        <v>349</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1239873.52</v>
      </c>
      <c r="E4" s="13" t="n">
        <f aca="false">SUM(Model!K10:M10)</f>
        <v>1112821.85873443</v>
      </c>
      <c r="F4" s="13" t="n">
        <f aca="false">SUM(Model!N10:P10)</f>
        <v>1453957.97362653</v>
      </c>
      <c r="G4" s="13" t="n">
        <f aca="false">SUM(Model!Q10:S10)</f>
        <v>1799854.47236507</v>
      </c>
      <c r="H4" s="13" t="n">
        <f aca="false">SUM(Model!T10:V10)</f>
        <v>2141710.81282374</v>
      </c>
      <c r="I4" s="13" t="n">
        <f aca="false">SUM(Model!W10:Y10)</f>
        <v>2228267.50745445</v>
      </c>
      <c r="J4" s="13" t="n">
        <f aca="false">SUM(Model!Z10:AB10)</f>
        <v>2226295.66460606</v>
      </c>
      <c r="K4" s="13" t="n">
        <f aca="false">SUM(Model!AC10:AE10)</f>
        <v>2094918.15503999</v>
      </c>
      <c r="L4" s="13" t="n">
        <f aca="false">SUM(Model!AF10:AH10)</f>
        <v>2641453.86014236</v>
      </c>
      <c r="M4" s="13" t="n">
        <f aca="false">SUM(Model!AI10:AK10)</f>
        <v>2529751.39744597</v>
      </c>
      <c r="N4" s="13" t="n">
        <f aca="false">SUM(Model!AL10:AN10)</f>
        <v>2637893.62991587</v>
      </c>
      <c r="O4" s="13" t="n">
        <f aca="false">SUM(Model!AO10:AQ10)</f>
        <v>2712002.77676087</v>
      </c>
      <c r="P4" s="13" t="n">
        <f aca="false">SUM(Model!AR10:AT10)</f>
        <v>2844735.84976087</v>
      </c>
      <c r="Q4" s="13" t="n">
        <f aca="false">SUM(Model!AU10:AW10)</f>
        <v>2892889.33250963</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887292.11</v>
      </c>
      <c r="E5" s="13" t="n">
        <f aca="false">SUM(Model!K11:M11)</f>
        <v>861737.590506708</v>
      </c>
      <c r="F5" s="13" t="n">
        <f aca="false">SUM(Model!N11:P11)</f>
        <v>1105132.42721473</v>
      </c>
      <c r="G5" s="13" t="n">
        <f aca="false">SUM(Model!Q11:S11)</f>
        <v>1356223.05698889</v>
      </c>
      <c r="H5" s="13" t="n">
        <f aca="false">SUM(Model!T11:V11)</f>
        <v>1619014.84614516</v>
      </c>
      <c r="I5" s="13" t="n">
        <f aca="false">SUM(Model!W11:Y11)</f>
        <v>1702413.27234177</v>
      </c>
      <c r="J5" s="13" t="n">
        <f aca="false">SUM(Model!Z11:AB11)</f>
        <v>1693954.11004908</v>
      </c>
      <c r="K5" s="13" t="n">
        <f aca="false">SUM(Model!AC11:AE11)</f>
        <v>1580764.8204837</v>
      </c>
      <c r="L5" s="13" t="n">
        <f aca="false">SUM(Model!AF11:AH11)</f>
        <v>1997907.75803652</v>
      </c>
      <c r="M5" s="13" t="n">
        <f aca="false">SUM(Model!AI11:AK11)</f>
        <v>1909247.96135958</v>
      </c>
      <c r="N5" s="13" t="n">
        <f aca="false">SUM(Model!AL11:AN11)</f>
        <v>1985605.37475716</v>
      </c>
      <c r="O5" s="13" t="n">
        <f aca="false">SUM(Model!AO11:AQ11)</f>
        <v>2033992.22719316</v>
      </c>
      <c r="P5" s="13" t="n">
        <f aca="false">SUM(Model!AR11:AT11)</f>
        <v>2133541.54959316</v>
      </c>
      <c r="Q5" s="13" t="n">
        <f aca="false">SUM(Model!AU11:AW11)</f>
        <v>2169656.4866657</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17344045.05</v>
      </c>
      <c r="E6" s="13" t="n">
        <f aca="false">SUM(Model!K57:M57)</f>
        <v>13751698.7140432</v>
      </c>
      <c r="F6" s="13" t="n">
        <f aca="false">SUM(Model!N57:P57)</f>
        <v>16898851.6080667</v>
      </c>
      <c r="G6" s="13" t="n">
        <f aca="false">SUM(Model!Q57:S57)</f>
        <v>21634190.880266</v>
      </c>
      <c r="H6" s="13" t="n">
        <f aca="false">SUM(Model!T57:V57)</f>
        <v>28785665.5007891</v>
      </c>
      <c r="I6" s="13" t="n">
        <f aca="false">SUM(Model!W57:Y57)</f>
        <v>31927072.0727847</v>
      </c>
      <c r="J6" s="13" t="n">
        <f aca="false">SUM(Model!Z57:AB57)</f>
        <v>34160349.7967003</v>
      </c>
      <c r="K6" s="13" t="n">
        <f aca="false">SUM(Model!AC57:AE57)</f>
        <v>31313852.7915869</v>
      </c>
      <c r="L6" s="13" t="n">
        <f aca="false">SUM(Model!AF57:AH57)</f>
        <v>33162603.6780743</v>
      </c>
      <c r="M6" s="13" t="n">
        <f aca="false">SUM(Model!AI57:AK57)</f>
        <v>32103043.497776</v>
      </c>
      <c r="N6" s="13" t="n">
        <f aca="false">SUM(Model!AL57:AN57)</f>
        <v>34122971.5867479</v>
      </c>
      <c r="O6" s="13" t="n">
        <f aca="false">SUM(Model!AO57:AQ57)</f>
        <v>35678679.9514812</v>
      </c>
      <c r="P6" s="13" t="n">
        <f aca="false">SUM(Model!AR57:AT57)</f>
        <v>38455984.877092</v>
      </c>
      <c r="Q6" s="13" t="n">
        <f aca="false">SUM(Model!AU57:AW57)</f>
        <v>38242473.8475267</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15726258.1632844</v>
      </c>
      <c r="F7" s="88" t="n">
        <f aca="false">SUM(Model!N58:P58)</f>
        <v>19457942.008908</v>
      </c>
      <c r="G7" s="88" t="n">
        <f aca="false">SUM(Model!Q58:S58)</f>
        <v>24790268.40962</v>
      </c>
      <c r="H7" s="88" t="n">
        <f aca="false">SUM(Model!T58:V58)</f>
        <v>32546391.159758</v>
      </c>
      <c r="I7" s="88" t="n">
        <f aca="false">SUM(Model!W58:Y58)</f>
        <v>35857752.8525809</v>
      </c>
      <c r="J7" s="88" t="n">
        <f aca="false">SUM(Model!Z58:AB58)</f>
        <v>38080599.5713554</v>
      </c>
      <c r="K7" s="88" t="n">
        <f aca="false">SUM(Model!AC58:AE58)</f>
        <v>34989535.7671105</v>
      </c>
      <c r="L7" s="88" t="n">
        <f aca="false">SUM(Model!AF58:AH58)</f>
        <v>37801965.2962531</v>
      </c>
      <c r="M7" s="88" t="n">
        <f aca="false">SUM(Model!AI58:AK58)</f>
        <v>36542042.8565815</v>
      </c>
      <c r="N7" s="88" t="n">
        <f aca="false">SUM(Model!AL58:AN58)</f>
        <v>38746470.591421</v>
      </c>
      <c r="O7" s="88" t="n">
        <f aca="false">SUM(Model!AO58:AQ58)</f>
        <v>40424674.9554352</v>
      </c>
      <c r="P7" s="88" t="n">
        <f aca="false">SUM(Model!AR58:AT58)</f>
        <v>43434262.276446</v>
      </c>
      <c r="Q7" s="88" t="n">
        <f aca="false">SUM(Model!AU58:AW58)</f>
        <v>43305019.666702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-14136383.1040432</v>
      </c>
      <c r="F8" s="13" t="n">
        <f aca="false">SUM(Model!N104:P104)</f>
        <v>-17105703.3880667</v>
      </c>
      <c r="G8" s="13" t="n">
        <f aca="false">SUM(Model!Q104:S104)</f>
        <v>-21797619.950266</v>
      </c>
      <c r="H8" s="13" t="n">
        <f aca="false">SUM(Model!T104:V104)</f>
        <v>-28922219.7307891</v>
      </c>
      <c r="I8" s="13" t="n">
        <f aca="false">SUM(Model!W104:Y104)</f>
        <v>-31927708.8227847</v>
      </c>
      <c r="J8" s="13" t="n">
        <f aca="false">SUM(Model!Z104:AB104)</f>
        <v>-34158297.4967003</v>
      </c>
      <c r="K8" s="13" t="n">
        <f aca="false">SUM(Model!AC104:AE104)</f>
        <v>-31312949.7615869</v>
      </c>
      <c r="L8" s="13" t="n">
        <f aca="false">SUM(Model!AF104:AH104)</f>
        <v>-33160966.1180743</v>
      </c>
      <c r="M8" s="13" t="n">
        <f aca="false">SUM(Model!AI104:AK104)</f>
        <v>-32101857.597776</v>
      </c>
      <c r="N8" s="13" t="n">
        <f aca="false">SUM(Model!AL104:AN104)</f>
        <v>-34122257.2067479</v>
      </c>
      <c r="O8" s="13" t="n">
        <f aca="false">SUM(Model!AO104:AQ104)</f>
        <v>-35678679.9514812</v>
      </c>
      <c r="P8" s="13" t="n">
        <f aca="false">SUM(Model!AR104:AT104)</f>
        <v>-38455984.877092</v>
      </c>
      <c r="Q8" s="13" t="n">
        <f aca="false">SUM(Model!AU104:AW104)</f>
        <v>-38242473.8475267</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288</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289</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1211794.43905641</v>
      </c>
      <c r="F13" s="32" t="n">
        <f aca="false">SUM(Model!N199:P199)</f>
        <v>2350844.18084126</v>
      </c>
      <c r="G13" s="32" t="n">
        <f aca="false">SUM(Model!Q199:S199)</f>
        <v>1651926.58831948</v>
      </c>
      <c r="H13" s="32" t="n">
        <f aca="false">SUM(Model!T199:V199)</f>
        <v>3370114.1655822</v>
      </c>
      <c r="I13" s="32" t="n">
        <f aca="false">SUM(Model!W199:Y199)</f>
        <v>3684819.22393416</v>
      </c>
      <c r="J13" s="32" t="n">
        <f aca="false">SUM(Model!Z199:AB199)</f>
        <v>3920249.77465514</v>
      </c>
      <c r="K13" s="32" t="n">
        <f aca="false">SUM(Model!AC199:AE199)</f>
        <v>2942809.63256802</v>
      </c>
      <c r="L13" s="32" t="n">
        <f aca="false">SUM(Model!AF199:AH199)</f>
        <v>4639361.61817888</v>
      </c>
      <c r="M13" s="32" t="n">
        <f aca="false">SUM(Model!AI199:AK199)</f>
        <v>4173174.23565284</v>
      </c>
      <c r="N13" s="32" t="n">
        <f aca="false">SUM(Model!AL199:AN199)</f>
        <v>4623499.00467303</v>
      </c>
      <c r="O13" s="32" t="n">
        <f aca="false">SUM(Model!AO199:AQ199)</f>
        <v>4427004.85617078</v>
      </c>
      <c r="P13" s="32" t="n">
        <f aca="false">SUM(Model!AR199:AT199)</f>
        <v>4978277.39935403</v>
      </c>
      <c r="Q13" s="32" t="n">
        <f aca="false">SUM(Model!AU199:AW199)</f>
        <v>5062545.81917533</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0.0770554843036693</v>
      </c>
      <c r="F14" s="89" t="n">
        <f aca="false">IFERROR(F13/F7,0)</f>
        <v>0.120816691701775</v>
      </c>
      <c r="G14" s="89" t="n">
        <f aca="false">IFERROR(G13/G7,0)</f>
        <v>0.0666360912687191</v>
      </c>
      <c r="H14" s="89" t="n">
        <f aca="false">IFERROR(H13/H7,0)</f>
        <v>0.103548013942301</v>
      </c>
      <c r="I14" s="89" t="n">
        <f aca="false">IFERROR(I13/I7,0)</f>
        <v>0.102762134567753</v>
      </c>
      <c r="J14" s="89" t="n">
        <f aca="false">IFERROR(J13/J7,0)</f>
        <v>0.102946114787646</v>
      </c>
      <c r="K14" s="89" t="n">
        <f aca="false">IFERROR(K13/K7,0)</f>
        <v>0.0841054208937005</v>
      </c>
      <c r="L14" s="89" t="n">
        <f aca="false">IFERROR(L13/L7,0)</f>
        <v>0.122728053470774</v>
      </c>
      <c r="M14" s="89" t="n">
        <f aca="false">IFERROR(M13/M7,0)</f>
        <v>0.114201996096155</v>
      </c>
      <c r="N14" s="89" t="n">
        <f aca="false">IFERROR(N13/N7,0)</f>
        <v>0.119326971827383</v>
      </c>
      <c r="O14" s="89" t="n">
        <f aca="false">IFERROR(O13/O7,0)</f>
        <v>0.109512441622627</v>
      </c>
      <c r="P14" s="89" t="n">
        <f aca="false">IFERROR(P13/P7,0)</f>
        <v>0.114616368241017</v>
      </c>
      <c r="Q14" s="89" t="n">
        <f aca="false">IFERROR(Q13/Q7,0)</f>
        <v>0.116904364855144</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-837179.77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-1512956.6080236</v>
      </c>
      <c r="L17" s="13" t="n">
        <f aca="false">SUM(Model!AF203:AH204)+SUM(Model!AF206:AH210)</f>
        <v>-1537080.8830236</v>
      </c>
      <c r="M17" s="13" t="n">
        <f aca="false">SUM(Model!AI203:AK204)+SUM(Model!AI206:AK210)</f>
        <v>-1549143.0205236</v>
      </c>
      <c r="N17" s="13" t="n">
        <f aca="false">SUM(Model!AL203:AN204)+SUM(Model!AL206:AN210)</f>
        <v>-1573267.2955236</v>
      </c>
      <c r="O17" s="13" t="n">
        <f aca="false">SUM(Model!AO203:AQ204)+SUM(Model!AO206:AQ210)</f>
        <v>-1729242.84956407</v>
      </c>
      <c r="P17" s="13" t="n">
        <f aca="false">SUM(Model!AR203:AT204)+SUM(Model!AR206:AT210)</f>
        <v>-1729242.84956407</v>
      </c>
      <c r="Q17" s="13" t="n">
        <f aca="false">SUM(Model!AU203:AW204)+SUM(Model!AU206:AW210)</f>
        <v>-1729242.84956407</v>
      </c>
      <c r="R17" s="13" t="n">
        <f aca="false">SUM(Model!AX203:AZ204)+SUM(Model!AX206:AZ210)</f>
        <v>-1690856.30318407</v>
      </c>
      <c r="S17" s="13" t="n">
        <f aca="false">SUM(Model!BA203:BC204)+SUM(Model!BA206:BC210)</f>
        <v>-1625783.78015035</v>
      </c>
      <c r="T17" s="13" t="n">
        <f aca="false">SUM(Model!BD203:BF204)+SUM(Model!BD206:BF210)</f>
        <v>-1557514.78381915</v>
      </c>
      <c r="U17" s="13" t="n">
        <f aca="false">SUM(Model!BG203:BI204)+SUM(Model!BG206:BI210)</f>
        <v>-1557514.78381915</v>
      </c>
      <c r="V17" s="13" t="n">
        <f aca="false">SUM(Model!BJ203:BL204)+SUM(Model!BJ206:BL210)</f>
        <v>-1531411.93228075</v>
      </c>
      <c r="W17" s="13" t="n">
        <f aca="false">SUM(Model!BM203:BO204)+SUM(Model!BM206:BO210)</f>
        <v>-1414579.13885098</v>
      </c>
      <c r="X17" s="13" t="n">
        <f aca="false">SUM(Model!BP203:BR204)+SUM(Model!BP206:BR210)</f>
        <v>-1171882.85689356</v>
      </c>
      <c r="Y17" s="13" t="n">
        <f aca="false">SUM(Model!BS203:BU204)+SUM(Model!BS206:BU210)</f>
        <v>-1096616.28843841</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-245396.75</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-198872.538192</v>
      </c>
      <c r="L18" s="13" t="n">
        <f aca="false">SUM(Model!AF211:AH233)+SUM(Model!AF235:AH235)</f>
        <v>-208247.538192</v>
      </c>
      <c r="M18" s="13" t="n">
        <f aca="false">SUM(Model!AI211:AK233)+SUM(Model!AI235:AK235)</f>
        <v>-198872.538192</v>
      </c>
      <c r="N18" s="13" t="n">
        <f aca="false">SUM(Model!AL211:AN233)+SUM(Model!AL235:AN235)</f>
        <v>-217622.538192</v>
      </c>
      <c r="O18" s="13" t="n">
        <f aca="false">SUM(Model!AO211:AQ233)+SUM(Model!AO235:AQ235)</f>
        <v>-221074.98895584</v>
      </c>
      <c r="P18" s="13" t="n">
        <f aca="false">SUM(Model!AR211:AT233)+SUM(Model!AR235:AT235)</f>
        <v>-201949.98895584</v>
      </c>
      <c r="Q18" s="13" t="n">
        <f aca="false">SUM(Model!AU211:AW233)+SUM(Model!AU235:AW235)</f>
        <v>-201949.98895584</v>
      </c>
      <c r="R18" s="13" t="n">
        <f aca="false">SUM(Model!AX211:AZ233)+SUM(Model!AX235:AZ235)</f>
        <v>-211949.98895584</v>
      </c>
      <c r="S18" s="13" t="n">
        <f aca="false">SUM(Model!BA211:BC233)+SUM(Model!BA235:BC235)</f>
        <v>-247781.296427265</v>
      </c>
      <c r="T18" s="13" t="n">
        <f aca="false">SUM(Model!BD211:BF233)+SUM(Model!BD235:BF235)</f>
        <v>-205088.988734957</v>
      </c>
      <c r="U18" s="13" t="n">
        <f aca="false">SUM(Model!BG211:BI233)+SUM(Model!BG235:BI235)</f>
        <v>-205088.988734957</v>
      </c>
      <c r="V18" s="13" t="n">
        <f aca="false">SUM(Model!BJ211:BL233)+SUM(Model!BJ235:BL235)</f>
        <v>-215088.988734957</v>
      </c>
      <c r="W18" s="13" t="n">
        <f aca="false">SUM(Model!BM211:BO233)+SUM(Model!BM235:BO235)</f>
        <v>-274059.999278887</v>
      </c>
      <c r="X18" s="13" t="n">
        <f aca="false">SUM(Model!BP211:BR233)+SUM(Model!BP235:BR235)</f>
        <v>-240213.845432733</v>
      </c>
      <c r="Y18" s="13" t="n">
        <f aca="false">SUM(Model!BS211:BU233)+SUM(Model!BS235:BU235)</f>
        <v>-242521.537740425</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-62565.82645</v>
      </c>
      <c r="J20" s="13" t="n">
        <f aca="false">SUM(Model!Z234:AB234)</f>
        <v>0</v>
      </c>
      <c r="K20" s="13" t="n">
        <f aca="false">SUM(Model!AC234:AE234)</f>
        <v>-45000</v>
      </c>
      <c r="L20" s="13" t="n">
        <f aca="false">SUM(Model!AF234:AH234)</f>
        <v>-45000</v>
      </c>
      <c r="M20" s="13" t="n">
        <f aca="false">SUM(Model!AI234:AK234)</f>
        <v>-120000</v>
      </c>
      <c r="N20" s="13" t="n">
        <f aca="false">SUM(Model!AL234:AN234)</f>
        <v>-120000</v>
      </c>
      <c r="O20" s="13" t="n">
        <f aca="false">SUM(Model!AO234:AQ234)</f>
        <v>-120000</v>
      </c>
      <c r="P20" s="13" t="n">
        <f aca="false">SUM(Model!AR234:AT234)</f>
        <v>-118220.928832814</v>
      </c>
      <c r="Q20" s="13" t="n">
        <f aca="false">SUM(Model!AU234:AW234)</f>
        <v>-207297.078985337</v>
      </c>
      <c r="R20" s="13" t="n">
        <f aca="false">SUM(Model!AX234:AZ234)</f>
        <v>-166883.879626198</v>
      </c>
      <c r="S20" s="13" t="n">
        <f aca="false">SUM(Model!BA234:BC234)</f>
        <v>-290033.415304693</v>
      </c>
      <c r="T20" s="13" t="n">
        <f aca="false">SUM(Model!BD234:BF234)</f>
        <v>-325509.922828776</v>
      </c>
      <c r="U20" s="13" t="n">
        <f aca="false">SUM(Model!BG234:BI234)</f>
        <v>-328332.185903693</v>
      </c>
      <c r="V20" s="13" t="n">
        <f aca="false">SUM(Model!BJ234:BL234)</f>
        <v>0</v>
      </c>
      <c r="W20" s="13" t="n">
        <f aca="false">SUM(Model!BM234:BO234)</f>
        <v>-138990.624522397</v>
      </c>
      <c r="X20" s="13" t="n">
        <f aca="false">SUM(Model!BP234:BR234)</f>
        <v>-50795.2732662606</v>
      </c>
      <c r="Y20" s="13" t="n">
        <f aca="false">SUM(Model!BS234:BU234)</f>
        <v>-171048.514515246</v>
      </c>
      <c r="Z20" s="13" t="n">
        <f aca="false">SUM(Model!BV234:BX234)</f>
        <v>-130450.736149481</v>
      </c>
      <c r="AA20" s="13" t="n">
        <f aca="false">SUM(Model!BY234:CA234)</f>
        <v>-37528.2063336811</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-1741712.04823</v>
      </c>
      <c r="J21" s="88" t="n">
        <f aca="false">SUM(Model!Z236:AB236)</f>
        <v>-1679146.22178</v>
      </c>
      <c r="K21" s="88" t="n">
        <f aca="false">SUM(Model!AC236:AE236)</f>
        <v>-1756829.1462156</v>
      </c>
      <c r="L21" s="88" t="n">
        <f aca="false">SUM(Model!AF236:AH236)</f>
        <v>-1790328.4212156</v>
      </c>
      <c r="M21" s="88" t="n">
        <f aca="false">SUM(Model!AI236:AK236)</f>
        <v>-1868015.5587156</v>
      </c>
      <c r="N21" s="88" t="n">
        <f aca="false">SUM(Model!AL236:AN236)</f>
        <v>-1910889.8337156</v>
      </c>
      <c r="O21" s="88" t="n">
        <f aca="false">SUM(Model!AO236:AQ236)</f>
        <v>-2070317.83851991</v>
      </c>
      <c r="P21" s="88" t="n">
        <f aca="false">SUM(Model!AR236:AT236)</f>
        <v>-2049413.76735273</v>
      </c>
      <c r="Q21" s="88" t="n">
        <f aca="false">SUM(Model!AU236:AW236)</f>
        <v>-2138489.91750525</v>
      </c>
      <c r="R21" s="88" t="n">
        <f aca="false">SUM(Model!AX236:AZ236)</f>
        <v>-2069690.17176611</v>
      </c>
      <c r="S21" s="88" t="n">
        <f aca="false">SUM(Model!BA236:BC236)</f>
        <v>-2163598.49188231</v>
      </c>
      <c r="T21" s="88" t="n">
        <f aca="false">SUM(Model!BD236:BF236)</f>
        <v>-2088113.69538289</v>
      </c>
      <c r="U21" s="88" t="n">
        <f aca="false">SUM(Model!BG236:BI236)</f>
        <v>-2090935.9584578</v>
      </c>
      <c r="V21" s="88" t="n">
        <f aca="false">SUM(Model!BJ236:BL236)</f>
        <v>-1746500.92101571</v>
      </c>
      <c r="W21" s="88" t="n">
        <f aca="false">SUM(Model!BM236:BO236)</f>
        <v>-1827629.76265226</v>
      </c>
      <c r="X21" s="88" t="n">
        <f aca="false">SUM(Model!BP236:BR236)</f>
        <v>-1462891.97559255</v>
      </c>
      <c r="Y21" s="88" t="n">
        <f aca="false">SUM(Model!BS236:BU236)</f>
        <v>-1510186.34069408</v>
      </c>
      <c r="Z21" s="88" t="n">
        <f aca="false">SUM(Model!BV236:BX236)</f>
        <v>-1360603.24211489</v>
      </c>
      <c r="AA21" s="88" t="n">
        <f aca="false">SUM(Model!BY236:CA236)</f>
        <v>-1291383.76241839</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-44079.6999435913</v>
      </c>
      <c r="F22" s="91" t="n">
        <f aca="false">SUM(Model!N237:P237)</f>
        <v>923698.791841256</v>
      </c>
      <c r="G22" s="91" t="n">
        <f aca="false">SUM(Model!Q237:S237)</f>
        <v>-2940.25846051914</v>
      </c>
      <c r="H22" s="91" t="n">
        <f aca="false">SUM(Model!T237:V237)</f>
        <v>1690967.9438022</v>
      </c>
      <c r="I22" s="91" t="n">
        <f aca="false">SUM(Model!W237:Y237)</f>
        <v>1943107.17570416</v>
      </c>
      <c r="J22" s="91" t="n">
        <f aca="false">SUM(Model!Z237:AB237)</f>
        <v>2241103.55287514</v>
      </c>
      <c r="K22" s="91" t="n">
        <f aca="false">SUM(Model!AC237:AE237)</f>
        <v>1185980.48635242</v>
      </c>
      <c r="L22" s="91" t="n">
        <f aca="false">SUM(Model!AF237:AH237)</f>
        <v>2849033.19696328</v>
      </c>
      <c r="M22" s="91" t="n">
        <f aca="false">SUM(Model!AI237:AK237)</f>
        <v>2305158.67693724</v>
      </c>
      <c r="N22" s="91" t="n">
        <f aca="false">SUM(Model!AL237:AN237)</f>
        <v>2712609.17095743</v>
      </c>
      <c r="O22" s="91" t="n">
        <f aca="false">SUM(Model!AO237:AQ237)</f>
        <v>2356687.01765087</v>
      </c>
      <c r="P22" s="91" t="n">
        <f aca="false">SUM(Model!AR237:AT237)</f>
        <v>2928863.63200131</v>
      </c>
      <c r="Q22" s="91" t="n">
        <f aca="false">SUM(Model!AU237:AW237)</f>
        <v>2924055.90167008</v>
      </c>
      <c r="R22" s="91" t="n">
        <f aca="false">SUM(Model!AX237:AZ237)</f>
        <v>2394250.40083953</v>
      </c>
      <c r="S22" s="91" t="n">
        <f aca="false">SUM(Model!BA237:BC237)</f>
        <v>2052575.60757062</v>
      </c>
      <c r="T22" s="91" t="n">
        <f aca="false">SUM(Model!BD237:BF237)</f>
        <v>2448061.47722275</v>
      </c>
      <c r="U22" s="91" t="n">
        <f aca="false">SUM(Model!BG237:BI237)</f>
        <v>2180397.47518218</v>
      </c>
      <c r="V22" s="91" t="n">
        <f aca="false">SUM(Model!BJ237:BL237)</f>
        <v>1449880.12898429</v>
      </c>
      <c r="W22" s="91" t="n">
        <f aca="false">SUM(Model!BM237:BO237)</f>
        <v>1260399.38734774</v>
      </c>
      <c r="X22" s="91" t="n">
        <f aca="false">SUM(Model!BP237:BR237)</f>
        <v>1227846.87440745</v>
      </c>
      <c r="Y22" s="91" t="n">
        <f aca="false">SUM(Model!BS237:BU237)</f>
        <v>801320.859305915</v>
      </c>
      <c r="Z22" s="91" t="n">
        <f aca="false">SUM(Model!BV237:BX237)</f>
        <v>84088.7578851149</v>
      </c>
      <c r="AA22" s="91" t="n">
        <f aca="false">SUM(Model!BY237:CA237)</f>
        <v>-803800.212418394</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-0.0028029363047405</v>
      </c>
      <c r="F23" s="89" t="n">
        <f aca="false">IFERROR(F22/F7,0)</f>
        <v>0.0474715564173426</v>
      </c>
      <c r="G23" s="89" t="n">
        <f aca="false">IFERROR(G22/G7,0)</f>
        <v>-0.000118605349967819</v>
      </c>
      <c r="H23" s="89" t="n">
        <f aca="false">IFERROR(H22/H7,0)</f>
        <v>0.0519556203789808</v>
      </c>
      <c r="I23" s="89" t="n">
        <f aca="false">IFERROR(I22/I7,0)</f>
        <v>0.0541893181006824</v>
      </c>
      <c r="J23" s="89" t="n">
        <f aca="false">IFERROR(J22/J7,0)</f>
        <v>0.0588515826457973</v>
      </c>
      <c r="K23" s="89" t="n">
        <f aca="false">IFERROR(K22/K7,0)</f>
        <v>0.0338952907019481</v>
      </c>
      <c r="L23" s="89" t="n">
        <f aca="false">IFERROR(L22/L7,0)</f>
        <v>0.075367330101371</v>
      </c>
      <c r="M23" s="89" t="n">
        <f aca="false">IFERROR(M22/M7,0)</f>
        <v>0.0630823702436237</v>
      </c>
      <c r="N23" s="89" t="n">
        <f aca="false">IFERROR(N22/N7,0)</f>
        <v>0.0700091938582412</v>
      </c>
      <c r="O23" s="89" t="n">
        <f aca="false">IFERROR(O22/O7,0)</f>
        <v>0.0582982304804904</v>
      </c>
      <c r="P23" s="89" t="n">
        <f aca="false">IFERROR(P22/P7,0)</f>
        <v>0.0674321026419183</v>
      </c>
      <c r="Q23" s="89" t="n">
        <f aca="false">IFERROR(Q22/Q7,0)</f>
        <v>0.0675223316875303</v>
      </c>
      <c r="R23" s="89" t="n">
        <f aca="false">IFERROR(R22/R7,0)</f>
        <v>0.061588056721853</v>
      </c>
      <c r="S23" s="89" t="n">
        <f aca="false">IFERROR(S22/S7,0)</f>
        <v>0.060186379623114</v>
      </c>
      <c r="T23" s="89" t="n">
        <f aca="false">IFERROR(T22/T7,0)</f>
        <v>0.0762289430511912</v>
      </c>
      <c r="U23" s="89" t="n">
        <f aca="false">IFERROR(U22/U7,0)</f>
        <v>0.0673959789687205</v>
      </c>
      <c r="V23" s="89" t="n">
        <f aca="false">IFERROR(V22/V7,0)</f>
        <v>0.0455668002445062</v>
      </c>
      <c r="W23" s="89" t="n">
        <f aca="false">IFERROR(W22/W7,0)</f>
        <v>0.0422454814037418</v>
      </c>
      <c r="X23" s="89" t="n">
        <f aca="false">IFERROR(X22/X7,0)</f>
        <v>0.05039765649613</v>
      </c>
      <c r="Y23" s="89" t="n">
        <f aca="false">IFERROR(Y22/Y7,0)</f>
        <v>0.0515012290950599</v>
      </c>
      <c r="Z23" s="89" t="n">
        <f aca="false">IFERROR(Z22/Z7,0)</f>
        <v>0.0118931602336173</v>
      </c>
      <c r="AA23" s="89" t="n">
        <f aca="false">IFERROR(AA22/AA7,0)</f>
        <v>-0.588228561949419</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-801599.751213671</v>
      </c>
      <c r="AB26" s="92" t="n">
        <f aca="false">Model!CB292+Model!CC292+Model!CD292</f>
        <v>-808321.751213671</v>
      </c>
      <c r="AC26" s="92" t="n">
        <f aca="false">Model!CE292+Model!CF292+Model!CG292</f>
        <v>-808320.751213671</v>
      </c>
      <c r="AD26" s="92" t="n">
        <f aca="false">Model!CH292+Model!CI292+Model!CJ292</f>
        <v>-801712.724607192</v>
      </c>
      <c r="AE26" s="92" t="n">
        <f aca="false">Model!CK292+Model!CL292+Model!CM292</f>
        <v>-885316.546237945</v>
      </c>
      <c r="AF26" s="92" t="n">
        <f aca="false">Model!CN292+Model!CO292+Model!CP292</f>
        <v>-885316.546237945</v>
      </c>
      <c r="AG26" s="92" t="n">
        <f aca="false">Model!CQ292+Model!CR292+Model!CS292</f>
        <v>-885316.546237945</v>
      </c>
      <c r="AH26" s="92" t="n">
        <f aca="false">Model!CT292+Model!CU292+Model!CV292</f>
        <v>-867583.711243609</v>
      </c>
      <c r="AI26" s="92" t="n">
        <f aca="false">Model!CW292+Model!CX292+Model!CY292</f>
        <v>-677499.654404888</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-192531.29</v>
      </c>
      <c r="D27" s="37" t="n">
        <f aca="false">Model!H293+Model!I293+Model!J293</f>
        <v>-298870.32</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15548.3455951117</v>
      </c>
      <c r="AJ27" s="37" t="n">
        <f aca="false">Model!CZ293+Model!DA293+Model!DB293</f>
        <v>32995.1945315189</v>
      </c>
      <c r="AK27" s="37" t="n">
        <f aca="false">Model!DC293+Model!DD293+Model!DE293</f>
        <v>32995.1945315189</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526914.490000001</v>
      </c>
      <c r="D30" s="37" t="n">
        <f aca="false">Model!H308+Model!I308+Model!J308</f>
        <v>1284975.214875</v>
      </c>
      <c r="E30" s="37" t="n">
        <f aca="false">Model!K308+Model!L308+Model!M308</f>
        <v>-520299.161293591</v>
      </c>
      <c r="F30" s="37" t="n">
        <f aca="false">Model!N308+Model!O308+Model!P308</f>
        <v>454303.538558467</v>
      </c>
      <c r="G30" s="37" t="n">
        <f aca="false">Model!Q308+Model!R308+Model!S308</f>
        <v>-480791.097239466</v>
      </c>
      <c r="H30" s="37" t="n">
        <f aca="false">Model!T308+Model!U308+Model!V308</f>
        <v>1141398.35502325</v>
      </c>
      <c r="I30" s="37" t="n">
        <f aca="false">Model!W308+Model!X308+Model!Y308</f>
        <v>1450912.58692521</v>
      </c>
      <c r="J30" s="37" t="n">
        <f aca="false">Model!Z308+Model!AA308+Model!AB308</f>
        <v>1748908.96409619</v>
      </c>
      <c r="K30" s="37" t="n">
        <f aca="false">Model!AC308+Model!AD308+Model!AE308</f>
        <v>682873.838429474</v>
      </c>
      <c r="L30" s="37" t="n">
        <f aca="false">Model!AF308+Model!AG308+Model!AH308</f>
        <v>2279077.86482981</v>
      </c>
      <c r="M30" s="37" t="n">
        <f aca="false">Model!AI308+Model!AJ308+Model!AK308</f>
        <v>1697229.66059324</v>
      </c>
      <c r="N30" s="37" t="n">
        <f aca="false">Model!AL308+Model!AM308+Model!AN308</f>
        <v>2104680.15461343</v>
      </c>
      <c r="O30" s="37" t="n">
        <f aca="false">Model!AO308+Model!AP308+Model!AQ308</f>
        <v>1737627.70097999</v>
      </c>
      <c r="P30" s="37" t="n">
        <f aca="false">Model!AR308+Model!AS308+Model!AT308</f>
        <v>2309804.31533043</v>
      </c>
      <c r="Q30" s="37" t="n">
        <f aca="false">Model!AU308+Model!AV308+Model!AW308</f>
        <v>2304996.5849992</v>
      </c>
      <c r="R30" s="37" t="n">
        <f aca="false">Model!AX308+Model!AY308+Model!AZ308</f>
        <v>1775191.08416865</v>
      </c>
      <c r="S30" s="37" t="n">
        <f aca="false">Model!BA308+Model!BB308+Model!BC308</f>
        <v>1422163.38456632</v>
      </c>
      <c r="T30" s="37" t="n">
        <f aca="false">Model!BD308+Model!BE308+Model!BF308</f>
        <v>1817649.25421846</v>
      </c>
      <c r="U30" s="37" t="n">
        <f aca="false">Model!BG308+Model!BH308+Model!BI308</f>
        <v>1549985.25217788</v>
      </c>
      <c r="V30" s="37" t="n">
        <f aca="false">Model!BJ308+Model!BK308+Model!BL308</f>
        <v>819467.905979991</v>
      </c>
      <c r="W30" s="37" t="n">
        <f aca="false">Model!BM308+Model!BN308+Model!BO308</f>
        <v>618407.199883354</v>
      </c>
      <c r="X30" s="37" t="n">
        <f aca="false">Model!BP308+Model!BQ308+Model!BR308</f>
        <v>639105.036943063</v>
      </c>
      <c r="Y30" s="37" t="n">
        <f aca="false">Model!BS308+Model!BT308+Model!BU308</f>
        <v>227090.671841531</v>
      </c>
      <c r="Z30" s="37" t="n">
        <f aca="false">Model!BV308+Model!BW308+Model!BX308</f>
        <v>-490141.429579269</v>
      </c>
      <c r="AA30" s="37" t="n">
        <f aca="false">Model!BY308+Model!BZ308+Model!CA308</f>
        <v>-1389841.96363207</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-1163665.36398682</v>
      </c>
      <c r="AJ30" s="37" t="n">
        <f aca="false">Model!CZ308+Model!DA308+Model!DB308</f>
        <v>-1146218.51505042</v>
      </c>
      <c r="AK30" s="37" t="n">
        <f aca="false">Model!DC308+Model!DD308+Model!DE308</f>
        <v>-1146218.51505042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-250000</v>
      </c>
      <c r="S42" s="93" t="n">
        <f aca="false">Model!BA322+Model!BB322+Model!BC322</f>
        <v>0</v>
      </c>
      <c r="T42" s="93" t="n">
        <f aca="false">Model!BD322+Model!BE322+Model!BF322</f>
        <v>0</v>
      </c>
      <c r="U42" s="93" t="n">
        <f aca="false">Model!BG322+Model!BH322+Model!BI322</f>
        <v>0</v>
      </c>
      <c r="V42" s="93" t="n">
        <f aca="false">Model!BJ322+Model!BK322+Model!BL322</f>
        <v>-250000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250000</v>
      </c>
      <c r="S43" s="93" t="n">
        <f aca="false">Model!BC323</f>
        <v>250000</v>
      </c>
      <c r="T43" s="93" t="n">
        <f aca="false">Model!BF323</f>
        <v>250000</v>
      </c>
      <c r="U43" s="93" t="n">
        <f aca="false">Model!BI323</f>
        <v>250000</v>
      </c>
      <c r="V43" s="93" t="n">
        <f aca="false">Model!BL323</f>
        <v>0</v>
      </c>
      <c r="W43" s="93" t="n">
        <f aca="false">Model!BO323</f>
        <v>0</v>
      </c>
      <c r="X43" s="93" t="n">
        <f aca="false">Model!BR323</f>
        <v>0</v>
      </c>
      <c r="Y43" s="93" t="n">
        <f aca="false">Model!BU323</f>
        <v>0</v>
      </c>
      <c r="Z43" s="93" t="n">
        <f aca="false">Model!BX323</f>
        <v>0</v>
      </c>
      <c r="AA43" s="93" t="n">
        <f aca="false">Model!CA323</f>
        <v>0</v>
      </c>
      <c r="AB43" s="93" t="n">
        <f aca="false">Model!CD323</f>
        <v>0</v>
      </c>
      <c r="AC43" s="93" t="n">
        <f aca="false">Model!CG323</f>
        <v>0</v>
      </c>
      <c r="AD43" s="93" t="n">
        <f aca="false">Model!CJ323</f>
        <v>0</v>
      </c>
      <c r="AE43" s="93" t="n">
        <f aca="false">Model!CM323</f>
        <v>0</v>
      </c>
      <c r="AF43" s="93" t="n">
        <f aca="false">Model!CP323</f>
        <v>0</v>
      </c>
      <c r="AG43" s="93" t="n">
        <f aca="false">Model!CS323</f>
        <v>0</v>
      </c>
      <c r="AH43" s="93" t="n">
        <f aca="false">Model!CV323</f>
        <v>0</v>
      </c>
      <c r="AI43" s="93" t="n">
        <f aca="false">Model!CY323</f>
        <v>0</v>
      </c>
      <c r="AJ43" s="93" t="n">
        <f aca="false">Model!DB323</f>
        <v>0</v>
      </c>
      <c r="AK43" s="93" t="n">
        <f aca="false">Model!DE323</f>
        <v>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139923409.92022</v>
      </c>
      <c r="H47" s="93" t="n">
        <f aca="false">Model!V356</f>
        <v>129730690.935604</v>
      </c>
      <c r="I47" s="93" t="n">
        <f aca="false">Model!Y356</f>
        <v>114921954.782205</v>
      </c>
      <c r="J47" s="93" t="n">
        <f aca="false">Model!AB356</f>
        <v>81088973.3302383</v>
      </c>
      <c r="K47" s="93" t="n">
        <f aca="false">Model!AE356</f>
        <v>99064774.3854532</v>
      </c>
      <c r="L47" s="93" t="n">
        <f aca="false">Model!AH356</f>
        <v>74580971.284942</v>
      </c>
      <c r="M47" s="93" t="n">
        <f aca="false">Model!AK356</f>
        <v>69149692.430782</v>
      </c>
      <c r="N47" s="93" t="n">
        <f aca="false">Model!AN356</f>
        <v>51355232.509006</v>
      </c>
      <c r="O47" s="93" t="n">
        <f aca="false">Model!AQ356</f>
        <v>55312910.377692</v>
      </c>
      <c r="P47" s="93" t="n">
        <f aca="false">Model!AT356</f>
        <v>40651345.101246</v>
      </c>
      <c r="Q47" s="93" t="n">
        <f aca="false">Model!AW356</f>
        <v>27179280.501624</v>
      </c>
      <c r="R47" s="93" t="n">
        <f aca="false">Model!AZ356</f>
        <v>16304865.887544</v>
      </c>
      <c r="S47" s="93" t="n">
        <f aca="false">Model!BC356</f>
        <v>22065854.53832</v>
      </c>
      <c r="T47" s="93" t="n">
        <f aca="false">Model!BF356</f>
        <v>14522644.58668</v>
      </c>
      <c r="U47" s="93" t="n">
        <f aca="false">Model!BI356</f>
        <v>23231535</v>
      </c>
      <c r="V47" s="93" t="n">
        <f aca="false">Model!BL356</f>
        <v>17903445</v>
      </c>
      <c r="W47" s="93" t="n">
        <f aca="false">Model!BO356</f>
        <v>12096555</v>
      </c>
      <c r="X47" s="93" t="n">
        <f aca="false">Model!BR356</f>
        <v>6768465</v>
      </c>
      <c r="Y47" s="93" t="n">
        <f aca="false">Model!BU356</f>
        <v>2975850</v>
      </c>
      <c r="Z47" s="93" t="n">
        <f aca="false">Model!BX356</f>
        <v>889169.999999999</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0</v>
      </c>
      <c r="E49" s="83" t="n">
        <f aca="false">Model!M369</f>
        <v>1835177.82653794</v>
      </c>
      <c r="F49" s="83" t="n">
        <f aca="false">Model!P369</f>
        <v>1390898.90982781</v>
      </c>
      <c r="G49" s="83" t="n">
        <f aca="false">Model!S369</f>
        <v>1733836.58588397</v>
      </c>
      <c r="H49" s="83" t="n">
        <f aca="false">Model!V369</f>
        <v>2755512.68735465</v>
      </c>
      <c r="I49" s="83" t="n">
        <f aca="false">Model!Y369</f>
        <v>4355172.22052338</v>
      </c>
      <c r="J49" s="83" t="n">
        <f aca="false">Model!AB369</f>
        <v>6587045.40178754</v>
      </c>
      <c r="K49" s="83" t="n">
        <f aca="false">Model!AE369</f>
        <v>8248084.1014509</v>
      </c>
      <c r="L49" s="83" t="n">
        <f aca="false">Model!AH369</f>
        <v>10145274.0809488</v>
      </c>
      <c r="M49" s="83" t="n">
        <f aca="false">Model!AK369</f>
        <v>12710766.7549105</v>
      </c>
      <c r="N49" s="83" t="n">
        <f aca="false">Model!AN369</f>
        <v>15242443.5516343</v>
      </c>
      <c r="O49" s="83" t="n">
        <f aca="false">Model!AQ369</f>
        <v>17448439.397897</v>
      </c>
      <c r="P49" s="83" t="n">
        <f aca="false">Model!AT369</f>
        <v>20128389.1599306</v>
      </c>
      <c r="Q49" s="83" t="n">
        <f aca="false">Model!AW369</f>
        <v>23532345.8631544</v>
      </c>
      <c r="R49" s="83" t="n">
        <f aca="false">Model!AZ369</f>
        <v>25829809.7853636</v>
      </c>
      <c r="S49" s="83" t="n">
        <f aca="false">Model!BC369</f>
        <v>27947223.831804</v>
      </c>
      <c r="T49" s="83" t="n">
        <f aca="false">Model!BF369</f>
        <v>30457414.9503964</v>
      </c>
      <c r="U49" s="83" t="n">
        <f aca="false">Model!BI369</f>
        <v>33196782.0636631</v>
      </c>
      <c r="V49" s="83" t="n">
        <f aca="false">Model!BL369</f>
        <v>34667429.6401474</v>
      </c>
      <c r="W49" s="83" t="n">
        <f aca="false">Model!BO369</f>
        <v>36170717.8699952</v>
      </c>
      <c r="X49" s="83" t="n">
        <f aca="false">Model!BR369</f>
        <v>37264027.8019026</v>
      </c>
      <c r="Y49" s="83" t="n">
        <f aca="false">Model!BU369</f>
        <v>38527650.1012085</v>
      </c>
      <c r="Z49" s="83" t="n">
        <f aca="false">Model!BX369</f>
        <v>39117381.0590936</v>
      </c>
      <c r="AA49" s="83" t="n">
        <f aca="false">Model!CA369</f>
        <v>38867078.4691752</v>
      </c>
      <c r="AB49" s="83" t="n">
        <f aca="false">Model!CD369</f>
        <v>37613222.9130905</v>
      </c>
      <c r="AC49" s="83" t="n">
        <f aca="false">Model!CG369</f>
        <v>36359367.3570058</v>
      </c>
      <c r="AD49" s="83" t="n">
        <f aca="false">Model!CJ369</f>
        <v>35105511.8009211</v>
      </c>
      <c r="AE49" s="83" t="n">
        <f aca="false">Model!CM369</f>
        <v>33827479.1337147</v>
      </c>
      <c r="AF49" s="83" t="n">
        <f aca="false">Model!CP369</f>
        <v>32549446.4665083</v>
      </c>
      <c r="AG49" s="83" t="n">
        <f aca="false">Model!CS369</f>
        <v>31271413.7993019</v>
      </c>
      <c r="AH49" s="83" t="n">
        <f aca="false">Model!CV369</f>
        <v>30114439.5742216</v>
      </c>
      <c r="AI49" s="83" t="n">
        <f aca="false">Model!CY369</f>
        <v>28935225.8646396</v>
      </c>
      <c r="AJ49" s="83" t="n">
        <f aca="false">Model!DB369</f>
        <v>27756012.1550577</v>
      </c>
      <c r="AK49" s="83" t="n">
        <f aca="false">Model!DE369</f>
        <v>26576798.4454758</v>
      </c>
    </row>
    <row r="50" customFormat="false" ht="15" hidden="false" customHeight="true" outlineLevel="0" collapsed="false">
      <c r="A50" s="82" t="s">
        <v>310</v>
      </c>
      <c r="B50" s="83" t="n">
        <f aca="false">Model!D378</f>
        <v>0</v>
      </c>
      <c r="C50" s="83" t="n">
        <f aca="false">Model!G378</f>
        <v>0</v>
      </c>
      <c r="D50" s="83" t="n">
        <f aca="false">Model!J378</f>
        <v>0</v>
      </c>
      <c r="E50" s="83" t="n">
        <f aca="false">Model!M378</f>
        <v>-177500.46135</v>
      </c>
      <c r="F50" s="83" t="n">
        <f aca="false">Model!P378</f>
        <v>-967142.381304239</v>
      </c>
      <c r="G50" s="83" t="n">
        <f aca="false">Model!S378</f>
        <v>-1444993.22008319</v>
      </c>
      <c r="H50" s="83" t="n">
        <f aca="false">Model!V378</f>
        <v>-2218562.80886213</v>
      </c>
      <c r="I50" s="83" t="n">
        <f aca="false">Model!Y378</f>
        <v>-3046757.39764108</v>
      </c>
      <c r="J50" s="83" t="n">
        <f aca="false">Model!AB378</f>
        <v>-5415561.14820356</v>
      </c>
      <c r="K50" s="83" t="n">
        <f aca="false">Model!AE378</f>
        <v>-6254667.79612651</v>
      </c>
      <c r="L50" s="83" t="n">
        <f aca="false">Model!AH378</f>
        <v>-7160623.12825998</v>
      </c>
      <c r="M50" s="83" t="n">
        <f aca="false">Model!AK378</f>
        <v>-8104552.14460398</v>
      </c>
      <c r="N50" s="83" t="n">
        <f aca="false">Model!AN378</f>
        <v>-12479869.8039905</v>
      </c>
      <c r="O50" s="83" t="n">
        <f aca="false">Model!AQ378</f>
        <v>-13098929.1206614</v>
      </c>
      <c r="P50" s="83" t="n">
        <f aca="false">Model!AT378</f>
        <v>-13717988.4373323</v>
      </c>
      <c r="Q50" s="83" t="n">
        <f aca="false">Model!AW378</f>
        <v>-14337047.7540031</v>
      </c>
      <c r="R50" s="83" t="n">
        <f aca="false">Model!AZ378</f>
        <v>-19460032.7749033</v>
      </c>
      <c r="S50" s="83" t="n">
        <f aca="false">Model!BC378</f>
        <v>-20090444.9979076</v>
      </c>
      <c r="T50" s="83" t="n">
        <f aca="false">Model!BF378</f>
        <v>-20720857.2209119</v>
      </c>
      <c r="U50" s="83" t="n">
        <f aca="false">Model!BI378</f>
        <v>-21351269.4439162</v>
      </c>
      <c r="V50" s="83" t="n">
        <f aca="false">Model!BL378</f>
        <v>-25533871.1214115</v>
      </c>
      <c r="W50" s="83" t="n">
        <f aca="false">Model!BO378</f>
        <v>-26175863.3088759</v>
      </c>
      <c r="X50" s="83" t="n">
        <f aca="false">Model!BR378</f>
        <v>-26764605.1463403</v>
      </c>
      <c r="Y50" s="83" t="n">
        <f aca="false">Model!BU378</f>
        <v>-27338835.3338047</v>
      </c>
      <c r="Z50" s="83" t="n">
        <f aca="false">Model!BX378</f>
        <v>-29072013.141037</v>
      </c>
      <c r="AA50" s="83" t="n">
        <f aca="false">Model!CA378</f>
        <v>-29658054.8922506</v>
      </c>
      <c r="AB50" s="83" t="n">
        <f aca="false">Model!CD378</f>
        <v>-30235359.6434643</v>
      </c>
      <c r="AC50" s="83" t="n">
        <f aca="false">Model!CG378</f>
        <v>-30812664.394678</v>
      </c>
      <c r="AD50" s="83" t="n">
        <f aca="false">Model!CJ378</f>
        <v>-31383361.1192852</v>
      </c>
      <c r="AE50" s="83" t="n">
        <f aca="false">Model!CM378</f>
        <v>-31575629.6655231</v>
      </c>
      <c r="AF50" s="83" t="n">
        <f aca="false">Model!CP378</f>
        <v>-31767898.2117611</v>
      </c>
      <c r="AG50" s="83" t="n">
        <f aca="false">Model!CS378</f>
        <v>-31960166.757999</v>
      </c>
      <c r="AH50" s="83" t="n">
        <f aca="false">Model!CV378</f>
        <v>-32134702.4692426</v>
      </c>
      <c r="AI50" s="83" t="n">
        <f aca="false">Model!CY378</f>
        <v>-32119154.1236475</v>
      </c>
      <c r="AJ50" s="83" t="n">
        <f aca="false">Model!DB378</f>
        <v>-32086158.929116</v>
      </c>
      <c r="AK50" s="83" t="n">
        <f aca="false">Model!DE378</f>
        <v>-32053163.7345845</v>
      </c>
    </row>
    <row r="51" customFormat="false" ht="15" hidden="false" customHeight="true" outlineLevel="0" collapsed="false">
      <c r="A51" s="82" t="s">
        <v>311</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-320246.666671449</v>
      </c>
      <c r="G51" s="83" t="n">
        <f aca="false">Model!Q382+Model!R382+Model!S382</f>
        <v>0</v>
      </c>
      <c r="H51" s="83" t="n">
        <f aca="false">Model!T382+Model!U382+Model!V382</f>
        <v>0</v>
      </c>
      <c r="I51" s="83" t="n">
        <f aca="false">Model!W382+Model!X382+Model!Y382</f>
        <v>0</v>
      </c>
      <c r="J51" s="83" t="n">
        <f aca="false">Model!Z382+Model!AA382+Model!AB382</f>
        <v>-1290609.16178353</v>
      </c>
      <c r="K51" s="83" t="n">
        <f aca="false">Model!AC382+Model!AD382+Model!AE382</f>
        <v>0</v>
      </c>
      <c r="L51" s="83" t="n">
        <f aca="false">Model!AF382+Model!AG382+Model!AH382</f>
        <v>0</v>
      </c>
      <c r="M51" s="83" t="n">
        <f aca="false">Model!AI382+Model!AJ382+Model!AK382</f>
        <v>0</v>
      </c>
      <c r="N51" s="83" t="n">
        <f aca="false">Model!AL382+Model!AM382+Model!AN382</f>
        <v>-3223269.4349582</v>
      </c>
      <c r="O51" s="83" t="n">
        <f aca="false">Model!AO382+Model!AP382+Model!AQ382</f>
        <v>0</v>
      </c>
      <c r="P51" s="83" t="n">
        <f aca="false">Model!AR382+Model!AS382+Model!AT382</f>
        <v>0</v>
      </c>
      <c r="Q51" s="83" t="n">
        <f aca="false">Model!AU382+Model!AV382+Model!AW382</f>
        <v>0</v>
      </c>
      <c r="R51" s="83" t="n">
        <f aca="false">Model!AX382+Model!AY382+Model!AZ382</f>
        <v>-4253925.70422929</v>
      </c>
      <c r="S51" s="83" t="n">
        <f aca="false">Model!BA382+Model!BB382+Model!BC382</f>
        <v>0</v>
      </c>
      <c r="T51" s="83" t="n">
        <f aca="false">Model!BD382+Model!BE382+Model!BF382</f>
        <v>0</v>
      </c>
      <c r="U51" s="83" t="n">
        <f aca="false">Model!BG382+Model!BH382+Model!BI382</f>
        <v>0</v>
      </c>
      <c r="V51" s="83" t="n">
        <f aca="false">Model!BJ382+Model!BK382+Model!BL382</f>
        <v>-3302189.45449105</v>
      </c>
      <c r="W51" s="83" t="n">
        <f aca="false">Model!BM382+Model!BN382+Model!BO382</f>
        <v>0</v>
      </c>
      <c r="X51" s="83" t="n">
        <f aca="false">Model!BP382+Model!BQ382+Model!BR382</f>
        <v>0</v>
      </c>
      <c r="Y51" s="83" t="n">
        <f aca="false">Model!BS382+Model!BT382+Model!BU382</f>
        <v>0</v>
      </c>
      <c r="Z51" s="83" t="n">
        <f aca="false">Model!BV382+Model!BW382+Model!BX382</f>
        <v>-1158947.61976791</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312</v>
      </c>
      <c r="B52" s="84" t="n">
        <f aca="false">Model!D383</f>
        <v>0</v>
      </c>
      <c r="C52" s="84" t="n">
        <f aca="false">Model!G383</f>
        <v>0</v>
      </c>
      <c r="D52" s="84" t="n">
        <f aca="false">Model!J383</f>
        <v>0</v>
      </c>
      <c r="E52" s="84" t="n">
        <f aca="false">Model!M383</f>
        <v>1657677.36518794</v>
      </c>
      <c r="F52" s="84" t="n">
        <f aca="false">Model!P383</f>
        <v>423756.528523571</v>
      </c>
      <c r="G52" s="84" t="n">
        <f aca="false">Model!S383</f>
        <v>288843.365800784</v>
      </c>
      <c r="H52" s="84" t="n">
        <f aca="false">Model!V383</f>
        <v>536949.878492517</v>
      </c>
      <c r="I52" s="84" t="n">
        <f aca="false">Model!Y383</f>
        <v>1308414.8228823</v>
      </c>
      <c r="J52" s="84" t="n">
        <f aca="false">Model!AB383</f>
        <v>1171484.25358398</v>
      </c>
      <c r="K52" s="84" t="n">
        <f aca="false">Model!AE383</f>
        <v>1993416.30532439</v>
      </c>
      <c r="L52" s="84" t="n">
        <f aca="false">Model!AH383</f>
        <v>2984650.95268879</v>
      </c>
      <c r="M52" s="84" t="n">
        <f aca="false">Model!AK383</f>
        <v>4606214.61030657</v>
      </c>
      <c r="N52" s="84" t="n">
        <f aca="false">Model!AN383</f>
        <v>2762573.74764382</v>
      </c>
      <c r="O52" s="84" t="n">
        <f aca="false">Model!AQ383</f>
        <v>4349510.27723561</v>
      </c>
      <c r="P52" s="84" t="n">
        <f aca="false">Model!AT383</f>
        <v>6410400.72259834</v>
      </c>
      <c r="Q52" s="84" t="n">
        <f aca="false">Model!AW383</f>
        <v>9195298.10915124</v>
      </c>
      <c r="R52" s="84" t="n">
        <f aca="false">Model!AZ383</f>
        <v>6369777.01046031</v>
      </c>
      <c r="S52" s="84" t="n">
        <f aca="false">Model!BC383</f>
        <v>7856778.83389635</v>
      </c>
      <c r="T52" s="84" t="n">
        <f aca="false">Model!BF383</f>
        <v>9736557.72948453</v>
      </c>
      <c r="U52" s="84" t="n">
        <f aca="false">Model!BI383</f>
        <v>11845512.6197469</v>
      </c>
      <c r="V52" s="84" t="n">
        <f aca="false">Model!BL383</f>
        <v>9133558.51873587</v>
      </c>
      <c r="W52" s="84" t="n">
        <f aca="false">Model!BO383</f>
        <v>9994854.56111923</v>
      </c>
      <c r="X52" s="84" t="n">
        <f aca="false">Model!BR383</f>
        <v>10499422.6555623</v>
      </c>
      <c r="Y52" s="84" t="n">
        <f aca="false">Model!BU383</f>
        <v>11188814.7674038</v>
      </c>
      <c r="Z52" s="84" t="n">
        <f aca="false">Model!BX383</f>
        <v>10045367.9180567</v>
      </c>
      <c r="AA52" s="84" t="n">
        <f aca="false">Model!CA383</f>
        <v>9209023.57692459</v>
      </c>
      <c r="AB52" s="84" t="n">
        <f aca="false">Model!CD383</f>
        <v>7377863.26962621</v>
      </c>
      <c r="AC52" s="84" t="n">
        <f aca="false">Model!CG383</f>
        <v>5546702.96232783</v>
      </c>
      <c r="AD52" s="84" t="n">
        <f aca="false">Model!CJ383</f>
        <v>3722150.68163593</v>
      </c>
      <c r="AE52" s="84" t="n">
        <f aca="false">Model!CM383</f>
        <v>2251849.46819157</v>
      </c>
      <c r="AF52" s="84" t="n">
        <f aca="false">Model!CP383</f>
        <v>781548.254747227</v>
      </c>
      <c r="AG52" s="84" t="n">
        <f aca="false">Model!CS383</f>
        <v>-688752.958697118</v>
      </c>
      <c r="AH52" s="84" t="n">
        <f aca="false">Model!CV383</f>
        <v>-2020262.89502106</v>
      </c>
      <c r="AI52" s="84" t="n">
        <f aca="false">Model!CY383</f>
        <v>-3183928.25900788</v>
      </c>
      <c r="AJ52" s="84" t="n">
        <f aca="false">Model!DB383</f>
        <v>-4330146.7740583</v>
      </c>
      <c r="AK52" s="84" t="n">
        <f aca="false">Model!DE383</f>
        <v>-5476365.28910872</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350</v>
      </c>
    </row>
    <row r="2" customFormat="false" ht="15" hidden="false" customHeight="true" outlineLevel="0" collapsed="false">
      <c r="A2" s="72" t="s">
        <v>351</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352</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353</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354</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355</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356</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357</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359</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360</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361</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362</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363</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364</v>
      </c>
    </row>
    <row r="2" customFormat="false" ht="15" hidden="false" customHeight="true" outlineLevel="0" collapsed="false">
      <c r="A2" s="72" t="s">
        <v>365</v>
      </c>
    </row>
    <row r="3" customFormat="false" ht="15" hidden="false" customHeight="true" outlineLevel="0" collapsed="false">
      <c r="A3" s="109"/>
      <c r="AP3" s="94" t="s">
        <v>366</v>
      </c>
    </row>
    <row r="4" customFormat="false" ht="19.5" hidden="false" customHeight="true" outlineLevel="0" collapsed="false">
      <c r="A4" s="94" t="s">
        <v>367</v>
      </c>
    </row>
    <row r="5" customFormat="false" ht="15" hidden="false" customHeight="true" outlineLevel="0" collapsed="false">
      <c r="A5" s="72" t="s">
        <v>368</v>
      </c>
    </row>
    <row r="6" customFormat="false" ht="15" hidden="false" customHeight="true" outlineLevel="0" collapsed="false">
      <c r="A6" s="110"/>
      <c r="B6" s="110" t="s">
        <v>369</v>
      </c>
      <c r="C6" s="110" t="s">
        <v>370</v>
      </c>
      <c r="D6" s="110" t="s">
        <v>371</v>
      </c>
      <c r="E6" s="110" t="s">
        <v>372</v>
      </c>
      <c r="F6" s="110" t="s">
        <v>373</v>
      </c>
      <c r="G6" s="110" t="s">
        <v>374</v>
      </c>
      <c r="AP6" s="111" t="s">
        <v>375</v>
      </c>
    </row>
    <row r="7" customFormat="false" ht="15" hidden="false" customHeight="true" outlineLevel="0" collapsed="false">
      <c r="A7" s="112" t="s">
        <v>376</v>
      </c>
    </row>
    <row r="8" customFormat="false" ht="15" hidden="false" customHeight="true" outlineLevel="0" collapsed="false">
      <c r="A8" s="109" t="s">
        <v>377</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378</v>
      </c>
    </row>
    <row r="9" customFormat="false" ht="15" hidden="false" customHeight="true" outlineLevel="0" collapsed="false">
      <c r="A9" s="109" t="s">
        <v>379</v>
      </c>
      <c r="B9" s="113" t="n">
        <f aca="false">SUM(Budget!$C$112:$N$112)</f>
        <v>-1657836.78</v>
      </c>
      <c r="C9" s="113" t="n">
        <f aca="false">SUM(Model!$B$292:$M$292)</f>
        <v>-2428227.65</v>
      </c>
      <c r="D9" s="113" t="n">
        <f aca="false">C9-B9</f>
        <v>-770390.87</v>
      </c>
      <c r="E9" s="113" t="n">
        <f aca="false">AM136</f>
        <v>-1244155.83</v>
      </c>
      <c r="F9" s="113" t="n">
        <f aca="false">AL136</f>
        <v>-1889927.29</v>
      </c>
      <c r="G9" s="113" t="n">
        <f aca="false">F9-E9</f>
        <v>-645771.46</v>
      </c>
      <c r="AP9" s="114" t="s">
        <v>380</v>
      </c>
    </row>
    <row r="10" customFormat="false" ht="15" hidden="false" customHeight="true" outlineLevel="0" collapsed="false">
      <c r="A10" s="115" t="s">
        <v>138</v>
      </c>
      <c r="B10" s="116" t="n">
        <f aca="false">SUM(Budget!$C$114:$N$114)</f>
        <v>-1010454.87</v>
      </c>
      <c r="C10" s="116" t="n">
        <f aca="false">SUM(Model!$B$293:$M$293)</f>
        <v>-1514955.34</v>
      </c>
      <c r="D10" s="116" t="n">
        <f aca="false">C10-B10</f>
        <v>-504500.47</v>
      </c>
      <c r="E10" s="116" t="n">
        <f aca="false">AM138</f>
        <v>-744514.29</v>
      </c>
      <c r="F10" s="116" t="n">
        <f aca="false">AL138</f>
        <v>-1035411.69</v>
      </c>
      <c r="G10" s="116" t="n">
        <f aca="false">F10-E10</f>
        <v>-290897.4</v>
      </c>
      <c r="AP10" s="114" t="s">
        <v>381</v>
      </c>
    </row>
    <row r="11" customFormat="false" ht="15" hidden="false" customHeight="true" outlineLevel="0" collapsed="false">
      <c r="A11" s="112" t="s">
        <v>382</v>
      </c>
    </row>
    <row r="12" customFormat="false" ht="15" hidden="false" customHeight="true" outlineLevel="0" collapsed="false">
      <c r="A12" s="109" t="s">
        <v>383</v>
      </c>
      <c r="B12" s="113" t="n">
        <f aca="false">SUM(Budget!$C$8:$N$11)</f>
        <v>5822291.95</v>
      </c>
      <c r="C12" s="113" t="n">
        <f aca="false">SUM(Model!$B$10:$M$11)</f>
        <v>6419477.15924114</v>
      </c>
      <c r="D12" s="113" t="n">
        <f aca="false">C12-B12</f>
        <v>597185.209241136</v>
      </c>
      <c r="E12" s="113" t="n">
        <f aca="false">SUM(AM32:AM35)</f>
        <v>4143426.93</v>
      </c>
      <c r="F12" s="113" t="n">
        <f aca="false">SUM(AL32:AL35)</f>
        <v>4444917.71</v>
      </c>
      <c r="G12" s="113" t="n">
        <f aca="false">F12-E12</f>
        <v>301490.78</v>
      </c>
      <c r="AP12" s="114" t="s">
        <v>384</v>
      </c>
    </row>
    <row r="13" customFormat="false" ht="15" hidden="false" customHeight="true" outlineLevel="0" collapsed="false">
      <c r="A13" s="109" t="s">
        <v>385</v>
      </c>
      <c r="B13" s="113" t="n">
        <f aca="false">SUM(Budget!$C$12:$N$12)+SUM(Budget!$C$14:$N$14)</f>
        <v>0</v>
      </c>
      <c r="C13" s="113" t="n">
        <f aca="false">SUM(Model!$B$57:$M$57)+SUM(Model!$B$104:$M$104)+SUM(Model!$B$197:$M$198)</f>
        <v>156578.910000011</v>
      </c>
      <c r="D13" s="113" t="n">
        <f aca="false">C13-B13</f>
        <v>156578.910000011</v>
      </c>
      <c r="E13" s="113" t="n">
        <f aca="false">AM36+AM38</f>
        <v>0</v>
      </c>
      <c r="F13" s="113" t="n">
        <f aca="false">AL36+AL38</f>
        <v>542520.770000003</v>
      </c>
      <c r="G13" s="113" t="n">
        <f aca="false">F13-E13</f>
        <v>542520.770000003</v>
      </c>
      <c r="AP13" s="114" t="s">
        <v>386</v>
      </c>
    </row>
    <row r="14" customFormat="false" ht="15" hidden="false" customHeight="true" outlineLevel="0" collapsed="false">
      <c r="A14" s="109" t="s">
        <v>387</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388</v>
      </c>
    </row>
    <row r="15" customFormat="false" ht="15" hidden="false" customHeight="true" outlineLevel="0" collapsed="false">
      <c r="A15" s="115" t="s">
        <v>61</v>
      </c>
      <c r="B15" s="116" t="n">
        <f aca="false">SUM(Budget!$C$17:$N$17)</f>
        <v>5822291.95</v>
      </c>
      <c r="C15" s="116" t="n">
        <f aca="false">SUM(Model!$B$199:$M$199)</f>
        <v>6199232.91393141</v>
      </c>
      <c r="D15" s="116" t="n">
        <f aca="false">C15-B15</f>
        <v>376940.963931409</v>
      </c>
      <c r="E15" s="116" t="n">
        <f aca="false">AM41</f>
        <v>4143426.93</v>
      </c>
      <c r="F15" s="116" t="n">
        <f aca="false">AL41</f>
        <v>4987438.48</v>
      </c>
      <c r="G15" s="116" t="n">
        <f aca="false">F15-E15</f>
        <v>844011.550000002</v>
      </c>
      <c r="AP15" s="114" t="s">
        <v>389</v>
      </c>
    </row>
    <row r="16" customFormat="false" ht="15" hidden="false" customHeight="true" outlineLevel="0" collapsed="false">
      <c r="A16" s="109" t="s">
        <v>390</v>
      </c>
      <c r="B16" s="113" t="n">
        <f aca="false">SUM(Budget!$C$55:$N$55)</f>
        <v>-3863881.5</v>
      </c>
      <c r="C16" s="113" t="n">
        <f aca="false">SUM(Model!$B$236:$M$236)</f>
        <v>-4050928.469</v>
      </c>
      <c r="D16" s="113" t="n">
        <f aca="false">C16-B16</f>
        <v>-187046.969</v>
      </c>
      <c r="E16" s="113" t="n">
        <f aca="false">AM79</f>
        <v>-2896936.65</v>
      </c>
      <c r="F16" s="113" t="n">
        <f aca="false">AL79</f>
        <v>-2795054.33</v>
      </c>
      <c r="G16" s="113" t="n">
        <f aca="false">F16-E16</f>
        <v>101882.32</v>
      </c>
      <c r="AP16" s="114" t="s">
        <v>391</v>
      </c>
    </row>
    <row r="17" customFormat="false" ht="15" hidden="false" customHeight="true" outlineLevel="0" collapsed="false">
      <c r="A17" s="115" t="s">
        <v>98</v>
      </c>
      <c r="B17" s="116" t="n">
        <f aca="false">SUM(Budget!$C$57:$N$57)</f>
        <v>1958410.45</v>
      </c>
      <c r="C17" s="116" t="n">
        <f aca="false">SUM(Model!$B$237:$M$237)</f>
        <v>2148304.44493141</v>
      </c>
      <c r="D17" s="116" t="n">
        <f aca="false">C17-B17</f>
        <v>189893.994931409</v>
      </c>
      <c r="E17" s="116" t="n">
        <f aca="false">AM81</f>
        <v>1246490.28</v>
      </c>
      <c r="F17" s="116" t="n">
        <f aca="false">AL81</f>
        <v>2192384.15</v>
      </c>
      <c r="G17" s="116" t="n">
        <f aca="false">F17-E17</f>
        <v>945893.870000001</v>
      </c>
      <c r="AP17" s="114" t="s">
        <v>392</v>
      </c>
    </row>
    <row r="18" customFormat="false" ht="15" hidden="false" customHeight="true" outlineLevel="0" collapsed="false">
      <c r="A18" s="115" t="s">
        <v>393</v>
      </c>
      <c r="B18" s="117" t="n">
        <f aca="false">B10+B17</f>
        <v>947955.58</v>
      </c>
      <c r="C18" s="117" t="n">
        <f aca="false">SUM(Model!$B$308:$M$308)</f>
        <v>636673.293581409</v>
      </c>
      <c r="D18" s="117" t="n">
        <f aca="false">C18-B18</f>
        <v>-311282.286418591</v>
      </c>
      <c r="E18" s="117" t="n">
        <f aca="false">E10+E17</f>
        <v>501975.99</v>
      </c>
      <c r="F18" s="117" t="n">
        <f aca="false">AL141</f>
        <v>1156972.46</v>
      </c>
      <c r="G18" s="117" t="n">
        <f aca="false">F18-E18</f>
        <v>654996.470000001</v>
      </c>
      <c r="AP18" s="114" t="s">
        <v>394</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403</v>
      </c>
      <c r="D29" s="110" t="s">
        <v>371</v>
      </c>
      <c r="E29" s="110" t="s">
        <v>402</v>
      </c>
      <c r="F29" s="110" t="s">
        <v>403</v>
      </c>
      <c r="G29" s="110" t="s">
        <v>371</v>
      </c>
      <c r="H29" s="110" t="s">
        <v>402</v>
      </c>
      <c r="I29" s="110" t="s">
        <v>403</v>
      </c>
      <c r="J29" s="110" t="s">
        <v>371</v>
      </c>
      <c r="K29" s="110" t="s">
        <v>402</v>
      </c>
      <c r="L29" s="110" t="s">
        <v>403</v>
      </c>
      <c r="M29" s="110" t="s">
        <v>371</v>
      </c>
      <c r="N29" s="110" t="s">
        <v>402</v>
      </c>
      <c r="O29" s="110" t="s">
        <v>403</v>
      </c>
      <c r="P29" s="110" t="s">
        <v>371</v>
      </c>
      <c r="Q29" s="110" t="s">
        <v>402</v>
      </c>
      <c r="R29" s="110" t="s">
        <v>403</v>
      </c>
      <c r="S29" s="110" t="s">
        <v>371</v>
      </c>
      <c r="T29" s="110" t="s">
        <v>402</v>
      </c>
      <c r="U29" s="110" t="s">
        <v>403</v>
      </c>
      <c r="V29" s="110" t="s">
        <v>371</v>
      </c>
      <c r="W29" s="110" t="s">
        <v>402</v>
      </c>
      <c r="X29" s="110" t="s">
        <v>403</v>
      </c>
      <c r="Y29" s="110" t="s">
        <v>371</v>
      </c>
      <c r="Z29" s="110" t="s">
        <v>402</v>
      </c>
      <c r="AA29" s="110" t="s">
        <v>403</v>
      </c>
      <c r="AB29" s="110" t="s">
        <v>371</v>
      </c>
      <c r="AC29" s="110" t="s">
        <v>402</v>
      </c>
      <c r="AD29" s="110" t="s">
        <v>403</v>
      </c>
      <c r="AE29" s="110" t="s">
        <v>371</v>
      </c>
      <c r="AF29" s="110" t="s">
        <v>402</v>
      </c>
      <c r="AG29" s="110" t="s">
        <v>403</v>
      </c>
      <c r="AH29" s="110" t="s">
        <v>371</v>
      </c>
      <c r="AI29" s="110" t="s">
        <v>402</v>
      </c>
      <c r="AJ29" s="110" t="s">
        <v>403</v>
      </c>
      <c r="AK29" s="110" t="s">
        <v>371</v>
      </c>
      <c r="AL29" s="110" t="s">
        <v>402</v>
      </c>
      <c r="AM29" s="110" t="s">
        <v>403</v>
      </c>
      <c r="AN29" s="110" t="s">
        <v>371</v>
      </c>
      <c r="AP29" s="111" t="s">
        <v>404</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406</v>
      </c>
    </row>
    <row r="33" customFormat="false" ht="15" hidden="false" customHeight="true" outlineLevel="0" collapsed="false">
      <c r="A33" s="109" t="s">
        <v>352</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407</v>
      </c>
    </row>
    <row r="35" customFormat="false" ht="15" hidden="false" customHeight="true" outlineLevel="0" collapsed="false">
      <c r="A35" s="109" t="s">
        <v>353</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408</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409</v>
      </c>
    </row>
    <row r="38" customFormat="false" ht="15" hidden="false" customHeight="true" outlineLevel="0" collapsed="false">
      <c r="A38" s="109" t="s">
        <v>354</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410</v>
      </c>
    </row>
    <row r="39" customFormat="false" ht="15" hidden="false" customHeight="true" outlineLevel="0" collapsed="false">
      <c r="A39" s="109" t="s">
        <v>411</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412</v>
      </c>
    </row>
    <row r="40" customFormat="false" ht="15" hidden="false" customHeight="true" outlineLevel="0" collapsed="false">
      <c r="A40" s="109" t="s">
        <v>413</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414</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415</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tru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416</v>
      </c>
    </row>
    <row r="46" customFormat="false" ht="15" hidden="tru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417</v>
      </c>
    </row>
    <row r="47" customFormat="false" ht="15" hidden="tru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418</v>
      </c>
    </row>
    <row r="48" customFormat="false" ht="15" hidden="tru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419</v>
      </c>
    </row>
    <row r="49" customFormat="false" ht="15" hidden="tru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tru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tru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420</v>
      </c>
    </row>
    <row r="52" customFormat="false" ht="15" hidden="tru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421</v>
      </c>
    </row>
    <row r="53" customFormat="false" ht="15" hidden="tru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422</v>
      </c>
    </row>
    <row r="54" customFormat="false" ht="15" hidden="tru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423</v>
      </c>
    </row>
    <row r="55" customFormat="false" ht="15" hidden="tru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tru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424</v>
      </c>
    </row>
    <row r="57" customFormat="false" ht="15" hidden="tru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425</v>
      </c>
    </row>
    <row r="58" customFormat="false" ht="15" hidden="tru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tru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tru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tru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426</v>
      </c>
    </row>
    <row r="62" customFormat="false" ht="15" hidden="tru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427</v>
      </c>
    </row>
    <row r="63" customFormat="false" ht="15" hidden="tru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tru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428</v>
      </c>
    </row>
    <row r="65" customFormat="false" ht="15" hidden="tru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429</v>
      </c>
    </row>
    <row r="66" customFormat="false" ht="15" hidden="tru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tru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tru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tru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430</v>
      </c>
    </row>
    <row r="70" customFormat="false" ht="15" hidden="tru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tru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tru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431</v>
      </c>
    </row>
    <row r="73" customFormat="false" ht="15" hidden="tru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432</v>
      </c>
    </row>
    <row r="74" customFormat="false" ht="15" hidden="tru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tru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tru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tru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433</v>
      </c>
    </row>
    <row r="78" customFormat="false" ht="15" hidden="true" customHeight="true" outlineLevel="1" collapsed="false">
      <c r="A78" s="109" t="s">
        <v>357</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tru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434</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435</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437</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438</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439</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440</v>
      </c>
    </row>
    <row r="95" customFormat="false" ht="15" hidden="true" customHeight="true" outlineLevel="1" collapsed="false">
      <c r="A95" s="109" t="s">
        <v>358</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359</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360</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361</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441</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362</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442</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443</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444</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445</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446</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447</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448</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449</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450</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451</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452</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453</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454</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455</v>
      </c>
    </row>
    <row r="137" customFormat="false" ht="15" hidden="false" customHeight="true" outlineLevel="0" collapsed="false">
      <c r="A137" s="109" t="s">
        <v>363</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456</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457</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460</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c r="AP142" s="114" t="s">
        <v>463</v>
      </c>
    </row>
    <row r="143" customFormat="false" ht="15" hidden="false" customHeight="true" outlineLevel="0" collapsed="false">
      <c r="A143" s="115" t="s">
        <v>464</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465</v>
      </c>
    </row>
    <row r="146" customFormat="false" ht="13.5" hidden="false" customHeight="true" outlineLevel="0" collapsed="false">
      <c r="A146" s="94" t="s">
        <v>466</v>
      </c>
    </row>
    <row r="147" customFormat="false" ht="13.5" hidden="false" customHeight="true" outlineLevel="0" collapsed="false">
      <c r="A147" s="72" t="s">
        <v>467</v>
      </c>
    </row>
    <row r="148" customFormat="false" ht="30" hidden="false" customHeight="true" outlineLevel="0" collapsed="false">
      <c r="A148" s="122" t="s">
        <v>468</v>
      </c>
      <c r="B148" s="122" t="s">
        <v>469</v>
      </c>
      <c r="C148" s="122" t="s">
        <v>470</v>
      </c>
      <c r="D148" s="122" t="s">
        <v>371</v>
      </c>
      <c r="E148" s="122" t="s">
        <v>471</v>
      </c>
      <c r="F148" s="122" t="s">
        <v>472</v>
      </c>
      <c r="G148" s="122" t="s">
        <v>371</v>
      </c>
      <c r="H148" s="122" t="s">
        <v>473</v>
      </c>
      <c r="I148" s="122" t="s">
        <v>474</v>
      </c>
      <c r="J148" s="122" t="s">
        <v>475</v>
      </c>
      <c r="K148" s="122" t="s">
        <v>476</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477</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478</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479</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480</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481</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482</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483</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484</v>
      </c>
    </row>
    <row r="157" customFormat="false" ht="13.5" hidden="false" customHeight="true" outlineLevel="0" collapsed="false">
      <c r="A157" s="123" t="s">
        <v>485</v>
      </c>
      <c r="B157" s="124" t="n">
        <v>0</v>
      </c>
      <c r="C157" s="124" t="n">
        <v>0</v>
      </c>
      <c r="D157" s="124" t="n">
        <v>0</v>
      </c>
      <c r="E157" s="124" t="n">
        <v>0</v>
      </c>
      <c r="F157" s="124" t="n">
        <v>0</v>
      </c>
      <c r="G157" s="124" t="n">
        <v>0</v>
      </c>
      <c r="H157" s="124" t="n">
        <v>2330</v>
      </c>
      <c r="I157" s="124" t="n">
        <v>-1966.5</v>
      </c>
      <c r="J157" s="124" t="n">
        <v>363.5</v>
      </c>
      <c r="K157" s="123" t="s">
        <v>486</v>
      </c>
    </row>
    <row r="158" customFormat="false" ht="13.5" hidden="false" customHeight="true" outlineLevel="0" collapsed="false">
      <c r="A158" s="94" t="s">
        <v>487</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488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489</v>
      </c>
    </row>
    <row r="2" customFormat="false" ht="15" hidden="false" customHeight="true" outlineLevel="0" collapsed="false">
      <c r="A2" s="72" t="s">
        <v>490</v>
      </c>
    </row>
    <row r="3" customFormat="false" ht="15" hidden="false" customHeight="true" outlineLevel="0" collapsed="false">
      <c r="A3" s="109"/>
    </row>
    <row r="4" customFormat="false" ht="19.5" hidden="false" customHeight="true" outlineLevel="0" collapsed="false">
      <c r="A4" s="94" t="s">
        <v>491</v>
      </c>
    </row>
    <row r="5" customFormat="false" ht="15" hidden="false" customHeight="true" outlineLevel="0" collapsed="false">
      <c r="A5" s="72" t="s">
        <v>492</v>
      </c>
    </row>
    <row r="6" customFormat="false" ht="15" hidden="false" customHeight="true" outlineLevel="0" collapsed="false">
      <c r="A6" s="110"/>
      <c r="B6" s="110" t="s">
        <v>493</v>
      </c>
      <c r="C6" s="110" t="s">
        <v>370</v>
      </c>
      <c r="D6" s="110" t="s">
        <v>371</v>
      </c>
      <c r="E6" s="110" t="s">
        <v>494</v>
      </c>
      <c r="F6" s="110" t="s">
        <v>373</v>
      </c>
      <c r="G6" s="110" t="s">
        <v>374</v>
      </c>
    </row>
    <row r="7" customFormat="false" ht="15" hidden="false" customHeight="true" outlineLevel="0" collapsed="false">
      <c r="A7" s="112" t="s">
        <v>376</v>
      </c>
    </row>
    <row r="8" customFormat="false" ht="15" hidden="false" customHeight="true" outlineLevel="0" collapsed="false">
      <c r="A8" s="109" t="s">
        <v>377</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379</v>
      </c>
      <c r="B9" s="113" t="n">
        <f aca="false">SUM('Reforecast Q1 2026'!$C$112:$N$112)</f>
        <v>-1331271.005</v>
      </c>
      <c r="C9" s="113" t="n">
        <f aca="false">SUM(Model!$B$292:$M$292)</f>
        <v>-2428227.65</v>
      </c>
      <c r="D9" s="113" t="n">
        <f aca="false">C9-B9</f>
        <v>-1096956.645</v>
      </c>
      <c r="E9" s="113" t="n">
        <f aca="false">AM136</f>
        <v>-1097000.73</v>
      </c>
      <c r="F9" s="113" t="n">
        <f aca="false">AL136</f>
        <v>-1889927.29</v>
      </c>
      <c r="G9" s="113" t="n">
        <f aca="false">F9-E9</f>
        <v>-792926.560000001</v>
      </c>
    </row>
    <row r="10" customFormat="false" ht="15" hidden="false" customHeight="true" outlineLevel="0" collapsed="false">
      <c r="A10" s="115" t="s">
        <v>138</v>
      </c>
      <c r="B10" s="116" t="n">
        <f aca="false">SUM('Reforecast Q1 2026'!$C$114:$N$114)</f>
        <v>-858479.364999999</v>
      </c>
      <c r="C10" s="116" t="n">
        <f aca="false">SUM(Model!$B$293:$M$293)</f>
        <v>-1514955.34</v>
      </c>
      <c r="D10" s="116" t="n">
        <f aca="false">C10-B10</f>
        <v>-656475.975000001</v>
      </c>
      <c r="E10" s="116" t="n">
        <f aca="false">AM138</f>
        <v>-733802.84</v>
      </c>
      <c r="F10" s="116" t="n">
        <f aca="false">AL138</f>
        <v>-1035411.69</v>
      </c>
      <c r="G10" s="116" t="n">
        <f aca="false">F10-E10</f>
        <v>-301608.85</v>
      </c>
    </row>
    <row r="11" customFormat="false" ht="15" hidden="false" customHeight="true" outlineLevel="0" collapsed="false">
      <c r="A11" s="112" t="s">
        <v>382</v>
      </c>
    </row>
    <row r="12" customFormat="false" ht="15" hidden="false" customHeight="true" outlineLevel="0" collapsed="false">
      <c r="A12" s="109" t="s">
        <v>383</v>
      </c>
      <c r="B12" s="113" t="n">
        <f aca="false">SUM('Reforecast Q1 2026'!$C$8:$N$11)</f>
        <v>6567424.1605258</v>
      </c>
      <c r="C12" s="113" t="n">
        <f aca="false">SUM(Model!$B$10:$M$11)</f>
        <v>6419477.15924114</v>
      </c>
      <c r="D12" s="113" t="n">
        <f aca="false">C12-B12</f>
        <v>-147947.001284663</v>
      </c>
      <c r="E12" s="113" t="n">
        <f aca="false">SUM(AM32:AM35)</f>
        <v>4098370.45772654</v>
      </c>
      <c r="F12" s="113" t="n">
        <f aca="false">SUM(AL32:AL35)</f>
        <v>4444917.71</v>
      </c>
      <c r="G12" s="113" t="n">
        <f aca="false">F12-E12</f>
        <v>346547.252273462</v>
      </c>
    </row>
    <row r="13" customFormat="false" ht="15" hidden="false" customHeight="true" outlineLevel="0" collapsed="false">
      <c r="A13" s="109" t="s">
        <v>385</v>
      </c>
      <c r="B13" s="113" t="n">
        <f aca="false">SUM('Reforecast Q1 2026'!$C$12:$N$12)+SUM('Reforecast Q1 2026'!$C$14:$N$14)</f>
        <v>-29723.3403436914</v>
      </c>
      <c r="C13" s="113" t="n">
        <f aca="false">SUM(Model!$B$57:$M$57)+SUM(Model!$B$104:$M$104)+SUM(Model!$B$197:$M$198)</f>
        <v>156578.910000011</v>
      </c>
      <c r="D13" s="113" t="n">
        <f aca="false">C13-B13</f>
        <v>186302.250343702</v>
      </c>
      <c r="E13" s="113" t="n">
        <f aca="false">AM36+AM38</f>
        <v>-29723.3392681703</v>
      </c>
      <c r="F13" s="113" t="n">
        <f aca="false">AL36+AL38</f>
        <v>542520.770000003</v>
      </c>
      <c r="G13" s="113" t="n">
        <f aca="false">F13-E13</f>
        <v>572244.109268174</v>
      </c>
    </row>
    <row r="14" customFormat="false" ht="15" hidden="false" customHeight="true" outlineLevel="0" collapsed="false">
      <c r="A14" s="109" t="s">
        <v>387</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6199232.91393141</v>
      </c>
      <c r="D15" s="116" t="n">
        <f aca="false">C15-B15</f>
        <v>-1048640.4670507</v>
      </c>
      <c r="E15" s="116" t="n">
        <f aca="false">AM41</f>
        <v>4393240.82325837</v>
      </c>
      <c r="F15" s="116" t="n">
        <f aca="false">AL41</f>
        <v>4987438.48</v>
      </c>
      <c r="G15" s="116" t="n">
        <f aca="false">F15-E15</f>
        <v>594197.656741633</v>
      </c>
    </row>
    <row r="16" customFormat="false" ht="15" hidden="false" customHeight="true" outlineLevel="0" collapsed="false">
      <c r="A16" s="109" t="s">
        <v>390</v>
      </c>
      <c r="B16" s="113" t="n">
        <f aca="false">SUM('Reforecast Q1 2026'!$C$55:$N$55)</f>
        <v>-5233737.90833333</v>
      </c>
      <c r="C16" s="113" t="n">
        <f aca="false">SUM(Model!$B$236:$M$236)</f>
        <v>-4050928.469</v>
      </c>
      <c r="D16" s="113" t="n">
        <f aca="false">C16-B16</f>
        <v>1182809.43933333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2148304.44493141</v>
      </c>
      <c r="D17" s="116" t="n">
        <f aca="false">C17-B17</f>
        <v>134168.961938963</v>
      </c>
      <c r="E17" s="116" t="n">
        <f aca="false">AM81</f>
        <v>773871.349193196</v>
      </c>
      <c r="F17" s="116" t="n">
        <f aca="false">AL81</f>
        <v>2192384.15</v>
      </c>
      <c r="G17" s="116" t="n">
        <f aca="false">F17-E17</f>
        <v>1418512.80080681</v>
      </c>
    </row>
    <row r="18" customFormat="false" ht="15" hidden="false" customHeight="true" outlineLevel="0" collapsed="false">
      <c r="A18" s="115" t="s">
        <v>393</v>
      </c>
      <c r="B18" s="117" t="n">
        <f aca="false">B10+B17</f>
        <v>1155656.11799245</v>
      </c>
      <c r="C18" s="117" t="n">
        <f aca="false">SUM(Model!$B$308:$M$308)</f>
        <v>636673.293581409</v>
      </c>
      <c r="D18" s="117" t="n">
        <f aca="false">C18-B18</f>
        <v>-518982.824411037</v>
      </c>
      <c r="E18" s="117" t="n">
        <f aca="false">E10+E17</f>
        <v>40068.5091931968</v>
      </c>
      <c r="F18" s="117" t="n">
        <f aca="false">AL141</f>
        <v>1156972.46</v>
      </c>
      <c r="G18" s="117" t="n">
        <f aca="false">F18-E18</f>
        <v>1116903.9508068</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495</v>
      </c>
      <c r="D29" s="110" t="s">
        <v>371</v>
      </c>
      <c r="E29" s="110" t="s">
        <v>402</v>
      </c>
      <c r="F29" s="110" t="s">
        <v>495</v>
      </c>
      <c r="G29" s="110" t="s">
        <v>371</v>
      </c>
      <c r="H29" s="110" t="s">
        <v>402</v>
      </c>
      <c r="I29" s="110" t="s">
        <v>495</v>
      </c>
      <c r="J29" s="110" t="s">
        <v>371</v>
      </c>
      <c r="K29" s="110" t="s">
        <v>402</v>
      </c>
      <c r="L29" s="110" t="s">
        <v>495</v>
      </c>
      <c r="M29" s="110" t="s">
        <v>371</v>
      </c>
      <c r="N29" s="110" t="s">
        <v>402</v>
      </c>
      <c r="O29" s="110" t="s">
        <v>495</v>
      </c>
      <c r="P29" s="110" t="s">
        <v>371</v>
      </c>
      <c r="Q29" s="110" t="s">
        <v>402</v>
      </c>
      <c r="R29" s="110" t="s">
        <v>495</v>
      </c>
      <c r="S29" s="110" t="s">
        <v>371</v>
      </c>
      <c r="T29" s="110" t="s">
        <v>402</v>
      </c>
      <c r="U29" s="110" t="s">
        <v>495</v>
      </c>
      <c r="V29" s="110" t="s">
        <v>371</v>
      </c>
      <c r="W29" s="110" t="s">
        <v>402</v>
      </c>
      <c r="X29" s="110" t="s">
        <v>495</v>
      </c>
      <c r="Y29" s="110" t="s">
        <v>371</v>
      </c>
      <c r="Z29" s="110" t="s">
        <v>402</v>
      </c>
      <c r="AA29" s="110" t="s">
        <v>495</v>
      </c>
      <c r="AB29" s="110" t="s">
        <v>371</v>
      </c>
      <c r="AC29" s="110" t="s">
        <v>402</v>
      </c>
      <c r="AD29" s="110" t="s">
        <v>495</v>
      </c>
      <c r="AE29" s="110" t="s">
        <v>371</v>
      </c>
      <c r="AF29" s="110" t="s">
        <v>402</v>
      </c>
      <c r="AG29" s="110" t="s">
        <v>495</v>
      </c>
      <c r="AH29" s="110" t="s">
        <v>371</v>
      </c>
      <c r="AI29" s="110" t="s">
        <v>402</v>
      </c>
      <c r="AJ29" s="110" t="s">
        <v>495</v>
      </c>
      <c r="AK29" s="110" t="s">
        <v>371</v>
      </c>
      <c r="AL29" s="110" t="s">
        <v>402</v>
      </c>
      <c r="AM29" s="110" t="s">
        <v>495</v>
      </c>
      <c r="AN29" s="110" t="s">
        <v>371</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352</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353</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354</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411</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413</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357</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358</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359</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360</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361</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362</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363</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row>
    <row r="143" customFormat="false" ht="15" hidden="false" customHeight="true" outlineLevel="0" collapsed="false">
      <c r="A143" s="115" t="s">
        <v>464</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496</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403</v>
      </c>
      <c r="C5" s="128" t="s">
        <v>402</v>
      </c>
      <c r="D5" s="128" t="s">
        <v>511</v>
      </c>
      <c r="E5" s="128" t="s">
        <v>512</v>
      </c>
      <c r="F5" s="128" t="s">
        <v>403</v>
      </c>
      <c r="G5" s="128" t="s">
        <v>402</v>
      </c>
      <c r="H5" s="128" t="s">
        <v>511</v>
      </c>
      <c r="I5" s="128" t="s">
        <v>512</v>
      </c>
      <c r="J5" s="128" t="s">
        <v>403</v>
      </c>
      <c r="K5" s="128" t="s">
        <v>402</v>
      </c>
      <c r="L5" s="128" t="s">
        <v>511</v>
      </c>
      <c r="M5" s="128" t="s">
        <v>512</v>
      </c>
      <c r="N5" s="128" t="s">
        <v>403</v>
      </c>
      <c r="O5" s="128" t="s">
        <v>402</v>
      </c>
      <c r="P5" s="128" t="s">
        <v>511</v>
      </c>
      <c r="Q5" s="128" t="s">
        <v>512</v>
      </c>
      <c r="R5" s="128" t="s">
        <v>403</v>
      </c>
      <c r="S5" s="128" t="s">
        <v>402</v>
      </c>
      <c r="T5" s="128" t="s">
        <v>511</v>
      </c>
      <c r="U5" s="128" t="s">
        <v>512</v>
      </c>
      <c r="V5" s="128" t="s">
        <v>403</v>
      </c>
      <c r="W5" s="128" t="s">
        <v>402</v>
      </c>
      <c r="X5" s="128" t="s">
        <v>511</v>
      </c>
      <c r="Y5" s="128" t="s">
        <v>512</v>
      </c>
      <c r="Z5" s="128" t="s">
        <v>403</v>
      </c>
      <c r="AA5" s="128" t="s">
        <v>402</v>
      </c>
      <c r="AB5" s="128" t="s">
        <v>511</v>
      </c>
      <c r="AC5" s="128" t="s">
        <v>512</v>
      </c>
      <c r="AD5" s="128" t="s">
        <v>403</v>
      </c>
      <c r="AE5" s="128" t="s">
        <v>402</v>
      </c>
      <c r="AF5" s="128" t="s">
        <v>511</v>
      </c>
      <c r="AG5" s="128" t="s">
        <v>512</v>
      </c>
      <c r="AH5" s="128" t="s">
        <v>403</v>
      </c>
      <c r="AI5" s="128" t="s">
        <v>402</v>
      </c>
      <c r="AJ5" s="128" t="s">
        <v>511</v>
      </c>
      <c r="AK5" s="128" t="s">
        <v>512</v>
      </c>
      <c r="AL5" s="128" t="s">
        <v>403</v>
      </c>
      <c r="AM5" s="128" t="s">
        <v>402</v>
      </c>
      <c r="AN5" s="128" t="s">
        <v>511</v>
      </c>
      <c r="AO5" s="128" t="s">
        <v>512</v>
      </c>
      <c r="AP5" s="128" t="s">
        <v>403</v>
      </c>
      <c r="AQ5" s="128" t="s">
        <v>402</v>
      </c>
      <c r="AR5" s="128" t="s">
        <v>511</v>
      </c>
      <c r="AS5" s="128" t="s">
        <v>512</v>
      </c>
      <c r="AT5" s="128" t="s">
        <v>403</v>
      </c>
      <c r="AU5" s="128" t="s">
        <v>402</v>
      </c>
      <c r="AV5" s="128" t="s">
        <v>511</v>
      </c>
      <c r="AW5" s="128" t="s">
        <v>512</v>
      </c>
      <c r="AX5" s="129" t="s">
        <v>372</v>
      </c>
      <c r="AY5" s="129" t="s">
        <v>373</v>
      </c>
      <c r="AZ5" s="129" t="s">
        <v>513</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352</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353</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354</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411</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413</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514</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515</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358</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359</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360</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361</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362</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517</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495</v>
      </c>
      <c r="C5" s="128" t="s">
        <v>402</v>
      </c>
      <c r="D5" s="128" t="s">
        <v>511</v>
      </c>
      <c r="E5" s="128" t="s">
        <v>512</v>
      </c>
      <c r="F5" s="128" t="s">
        <v>495</v>
      </c>
      <c r="G5" s="128" t="s">
        <v>402</v>
      </c>
      <c r="H5" s="128" t="s">
        <v>511</v>
      </c>
      <c r="I5" s="128" t="s">
        <v>512</v>
      </c>
      <c r="J5" s="128" t="s">
        <v>495</v>
      </c>
      <c r="K5" s="128" t="s">
        <v>402</v>
      </c>
      <c r="L5" s="128" t="s">
        <v>511</v>
      </c>
      <c r="M5" s="128" t="s">
        <v>512</v>
      </c>
      <c r="N5" s="128" t="s">
        <v>495</v>
      </c>
      <c r="O5" s="128" t="s">
        <v>402</v>
      </c>
      <c r="P5" s="128" t="s">
        <v>511</v>
      </c>
      <c r="Q5" s="128" t="s">
        <v>512</v>
      </c>
      <c r="R5" s="128" t="s">
        <v>495</v>
      </c>
      <c r="S5" s="128" t="s">
        <v>402</v>
      </c>
      <c r="T5" s="128" t="s">
        <v>511</v>
      </c>
      <c r="U5" s="128" t="s">
        <v>512</v>
      </c>
      <c r="V5" s="128" t="s">
        <v>495</v>
      </c>
      <c r="W5" s="128" t="s">
        <v>402</v>
      </c>
      <c r="X5" s="128" t="s">
        <v>511</v>
      </c>
      <c r="Y5" s="128" t="s">
        <v>512</v>
      </c>
      <c r="Z5" s="128" t="s">
        <v>495</v>
      </c>
      <c r="AA5" s="128" t="s">
        <v>402</v>
      </c>
      <c r="AB5" s="128" t="s">
        <v>511</v>
      </c>
      <c r="AC5" s="128" t="s">
        <v>512</v>
      </c>
      <c r="AD5" s="128" t="s">
        <v>495</v>
      </c>
      <c r="AE5" s="128" t="s">
        <v>402</v>
      </c>
      <c r="AF5" s="128" t="s">
        <v>511</v>
      </c>
      <c r="AG5" s="128" t="s">
        <v>512</v>
      </c>
      <c r="AH5" s="128" t="s">
        <v>495</v>
      </c>
      <c r="AI5" s="128" t="s">
        <v>402</v>
      </c>
      <c r="AJ5" s="128" t="s">
        <v>511</v>
      </c>
      <c r="AK5" s="128" t="s">
        <v>512</v>
      </c>
      <c r="AL5" s="128" t="s">
        <v>495</v>
      </c>
      <c r="AM5" s="128" t="s">
        <v>402</v>
      </c>
      <c r="AN5" s="128" t="s">
        <v>511</v>
      </c>
      <c r="AO5" s="128" t="s">
        <v>512</v>
      </c>
      <c r="AP5" s="128" t="s">
        <v>495</v>
      </c>
      <c r="AQ5" s="128" t="s">
        <v>402</v>
      </c>
      <c r="AR5" s="128" t="s">
        <v>511</v>
      </c>
      <c r="AS5" s="128" t="s">
        <v>512</v>
      </c>
      <c r="AT5" s="128" t="s">
        <v>495</v>
      </c>
      <c r="AU5" s="128" t="s">
        <v>402</v>
      </c>
      <c r="AV5" s="128" t="s">
        <v>511</v>
      </c>
      <c r="AW5" s="128" t="s">
        <v>512</v>
      </c>
      <c r="AX5" s="129" t="s">
        <v>372</v>
      </c>
      <c r="AY5" s="129" t="s">
        <v>373</v>
      </c>
      <c r="AZ5" s="129" t="s">
        <v>513</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352</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353</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354</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411</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413</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514</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515</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358</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359</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360</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361</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362</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518</v>
      </c>
    </row>
    <row r="2" customFormat="false" ht="15" hidden="false" customHeight="true" outlineLevel="0" collapsed="false">
      <c r="A2" s="72" t="s">
        <v>519</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352</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520</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353</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354</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411</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413</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515</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358</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359</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360</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361</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362</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521</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522</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523</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524</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525</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526</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527</v>
      </c>
    </row>
    <row r="2" customFormat="false" ht="15" hidden="false" customHeight="true" outlineLevel="0" collapsed="false">
      <c r="A2" s="72" t="s">
        <v>528</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352</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520</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353</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354</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411</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413</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515</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358</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359</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360</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361</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362</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26562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529</v>
      </c>
    </row>
    <row r="2" customFormat="false" ht="15" hidden="false" customHeight="true" outlineLevel="0" collapsed="false">
      <c r="A2" s="72" t="s">
        <v>530</v>
      </c>
    </row>
    <row r="4" customFormat="false" ht="31.5" hidden="false" customHeight="true" outlineLevel="0" collapsed="false">
      <c r="A4" s="110" t="s">
        <v>531</v>
      </c>
      <c r="B4" s="110" t="s">
        <v>532</v>
      </c>
      <c r="C4" s="110" t="s">
        <v>533</v>
      </c>
      <c r="D4" s="110" t="s">
        <v>534</v>
      </c>
      <c r="E4" s="110" t="s">
        <v>535</v>
      </c>
      <c r="F4" s="110" t="s">
        <v>536</v>
      </c>
      <c r="G4" s="110" t="s">
        <v>537</v>
      </c>
      <c r="H4" s="110" t="s">
        <v>538</v>
      </c>
      <c r="I4" s="154" t="s">
        <v>539</v>
      </c>
      <c r="J4" s="110" t="s">
        <v>540</v>
      </c>
      <c r="K4" s="110" t="s">
        <v>541</v>
      </c>
      <c r="L4" s="110" t="s">
        <v>542</v>
      </c>
      <c r="M4" s="154" t="s">
        <v>543</v>
      </c>
      <c r="N4" s="154" t="s">
        <v>544</v>
      </c>
      <c r="O4" s="154" t="s">
        <v>545</v>
      </c>
      <c r="P4" s="154" t="s">
        <v>546</v>
      </c>
      <c r="Q4" s="154" t="s">
        <v>547</v>
      </c>
      <c r="R4" s="154" t="s">
        <v>548</v>
      </c>
      <c r="S4" s="154" t="s">
        <v>549</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2530570.01024114</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1483510.82412124</v>
      </c>
      <c r="C6" s="163" t="n">
        <f aca="false">(SUM(Helpers!O97:Z97)-SUM(Helpers!O96:Z96))*(Assumptions!$B$10+Assumptions!$B$12)/Assumptions!$B$9</f>
        <v>136300.174303212</v>
      </c>
      <c r="D6" s="163" t="n">
        <f aca="false">(SUM(Helpers!O97:Z97)-SUM(Helpers!O96:Z96))*Assumptions!$B$11/Assumptions!$B$9</f>
        <v>102224.635414616</v>
      </c>
      <c r="E6" s="163" t="n">
        <v>0</v>
      </c>
      <c r="F6" s="164" t="n">
        <f aca="false">SUM(Helpers!O97:Z97)</f>
        <v>1722035.63383907</v>
      </c>
      <c r="G6" s="163" t="n">
        <f aca="false">SUM(Helpers!O99:Z99)</f>
        <v>6451494.73962035</v>
      </c>
      <c r="H6" s="164" t="n">
        <f aca="false">SUM(Helpers!O100:Z100)</f>
        <v>140536.775057919</v>
      </c>
      <c r="I6" s="165" t="n">
        <f aca="false">-SUM(Model!N234:Y234)</f>
        <v>62565.82645</v>
      </c>
      <c r="J6" s="163" t="n">
        <f aca="false">Personnel!$C$46</f>
        <v>222000</v>
      </c>
      <c r="K6" s="166" t="n">
        <f aca="false">I6+J6</f>
        <v>284565.82645</v>
      </c>
      <c r="L6" s="167" t="n">
        <f aca="false">IFERROR(I6/K6,0)</f>
        <v>0.219864160185774</v>
      </c>
      <c r="M6" s="158" t="n">
        <f aca="false">SUM(Helpers!O101:Z101)</f>
        <v>0</v>
      </c>
      <c r="N6" s="158" t="n">
        <f aca="false">B6-M6</f>
        <v>1483510.82412124</v>
      </c>
      <c r="O6" s="158" t="n">
        <f aca="false">IFERROR(H6*M6/B6,0)</f>
        <v>0</v>
      </c>
      <c r="P6" s="158" t="n">
        <f aca="false">H6-O6</f>
        <v>140536.775057919</v>
      </c>
      <c r="Q6" s="161" t="n">
        <f aca="false">IF(N6&gt;=Assumptions!$B$86,Assumptions!$C$86,IF(N6&gt;=Assumptions!$B$85,Assumptions!$C$85,IF(N6&gt;=Assumptions!$B$84,Assumptions!$C$84,Assumptions!$C$83)))</f>
        <v>0.25</v>
      </c>
      <c r="R6" s="158" t="n">
        <f aca="false">O6*Q6*0.1</f>
        <v>0</v>
      </c>
      <c r="S6" s="158" t="n">
        <f aca="false">P6*0.1</f>
        <v>14053.6775057919</v>
      </c>
    </row>
    <row r="7" customFormat="false" ht="15" hidden="false" customHeight="true" outlineLevel="0" collapsed="false">
      <c r="A7" s="155" t="s">
        <v>276</v>
      </c>
      <c r="B7" s="156" t="n">
        <f aca="false">SUM(Helpers!AA96:AL96)</f>
        <v>37183957.0321126</v>
      </c>
      <c r="C7" s="156" t="n">
        <f aca="false">(SUM(Helpers!AA97:AL97)-SUM(Helpers!AA96:AL96))*(Assumptions!$B$10+Assumptions!$B$12)/Assumptions!$B$9</f>
        <v>2303773.04581927</v>
      </c>
      <c r="D7" s="156" t="n">
        <f aca="false">(SUM(Helpers!AA97:AL97)-SUM(Helpers!AA96:AL96))*Assumptions!$B$11/Assumptions!$B$9</f>
        <v>1727821.4124877</v>
      </c>
      <c r="E7" s="156" t="n">
        <v>0</v>
      </c>
      <c r="F7" s="157" t="n">
        <f aca="false">SUM(Helpers!AA97:AL97)</f>
        <v>41215551.4904195</v>
      </c>
      <c r="G7" s="156" t="n">
        <f aca="false">SUM(Helpers!AA99:AL99)</f>
        <v>9789974.37923646</v>
      </c>
      <c r="H7" s="157" t="n">
        <f aca="false">SUM(Helpers!AA100:AL100)</f>
        <v>2386554.19432213</v>
      </c>
      <c r="I7" s="158" t="n">
        <f aca="false">-SUM(Model!Z234:AK234)</f>
        <v>210000</v>
      </c>
      <c r="J7" s="156" t="n">
        <f aca="false">Personnel!$C$46</f>
        <v>222000</v>
      </c>
      <c r="K7" s="159" t="n">
        <f aca="false">I7+J7</f>
        <v>432000</v>
      </c>
      <c r="L7" s="160" t="n">
        <f aca="false">IFERROR(I7/K7,0)</f>
        <v>0.486111111111111</v>
      </c>
      <c r="M7" s="158" t="n">
        <f aca="false">SUM(Helpers!AA101:AL101)</f>
        <v>889170</v>
      </c>
      <c r="N7" s="158" t="n">
        <f aca="false">B7-M7</f>
        <v>36294787.0321126</v>
      </c>
      <c r="O7" s="158" t="n">
        <f aca="false">IFERROR(H7*M7/B7,0)</f>
        <v>57069.0309031062</v>
      </c>
      <c r="P7" s="158" t="n">
        <f aca="false">H7-O7</f>
        <v>2329485.16341902</v>
      </c>
      <c r="Q7" s="161" t="n">
        <f aca="false">IF(N7&gt;=Assumptions!$B$86,Assumptions!$C$86,IF(N7&gt;=Assumptions!$B$85,Assumptions!$C$85,IF(N7&gt;=Assumptions!$B$84,Assumptions!$C$84,Assumptions!$C$83)))</f>
        <v>0.5</v>
      </c>
      <c r="R7" s="158" t="n">
        <f aca="false">O7*Q7*0.1</f>
        <v>2853.45154515531</v>
      </c>
      <c r="S7" s="158" t="n">
        <f aca="false">P7*0.1</f>
        <v>232948.516341902</v>
      </c>
    </row>
    <row r="8" customFormat="false" ht="15" hidden="false" customHeight="true" outlineLevel="0" collapsed="false">
      <c r="A8" s="162" t="s">
        <v>277</v>
      </c>
      <c r="B8" s="163" t="n">
        <f aca="false">SUM(Helpers!AM96:AX96)</f>
        <v>124158918.723766</v>
      </c>
      <c r="C8" s="163" t="n">
        <f aca="false">(SUM(Helpers!AM97:AX97)-SUM(Helpers!AM96:AX96))*(Assumptions!$B$10+Assumptions!$B$12)/Assumptions!$B$9</f>
        <v>8156168.19212861</v>
      </c>
      <c r="D8" s="163" t="n">
        <f aca="false">(SUM(Helpers!AM97:AX97)-SUM(Helpers!AM96:AX96))*Assumptions!$B$11/Assumptions!$B$9</f>
        <v>6117096.50470336</v>
      </c>
      <c r="E8" s="163" t="n">
        <v>0</v>
      </c>
      <c r="F8" s="164" t="n">
        <f aca="false">SUM(Helpers!AM97:AX97)</f>
        <v>138432183.420598</v>
      </c>
      <c r="G8" s="163" t="n">
        <f aca="false">SUM(Helpers!AM99:AX99)</f>
        <v>11806723.8778811</v>
      </c>
      <c r="H8" s="164" t="n">
        <f aca="false">SUM(Helpers!AM100:AX100)</f>
        <v>8666315.80664356</v>
      </c>
      <c r="I8" s="165" t="n">
        <f aca="false">-SUM(Model!AL234:AW234)</f>
        <v>565518.007818151</v>
      </c>
      <c r="J8" s="163" t="n">
        <f aca="false">Personnel!$C$46</f>
        <v>222000</v>
      </c>
      <c r="K8" s="166" t="n">
        <f aca="false">I8+J8</f>
        <v>787518.007818151</v>
      </c>
      <c r="L8" s="167" t="n">
        <f aca="false">IFERROR(I8/K8,0)</f>
        <v>0.718101684283945</v>
      </c>
      <c r="M8" s="158" t="n">
        <f aca="false">SUM(Helpers!AM101:AX101)</f>
        <v>18190134</v>
      </c>
      <c r="N8" s="158" t="n">
        <f aca="false">B8-M8</f>
        <v>105968784.723766</v>
      </c>
      <c r="O8" s="158" t="n">
        <f aca="false">IFERROR(H8*M8/B8,0)</f>
        <v>1269674.76383949</v>
      </c>
      <c r="P8" s="158" t="n">
        <f aca="false">H8-O8</f>
        <v>7396641.04280407</v>
      </c>
      <c r="Q8" s="161" t="n">
        <f aca="false">IF(N8&gt;=Assumptions!$B$86,Assumptions!$C$86,IF(N8&gt;=Assumptions!$B$85,Assumptions!$C$85,IF(N8&gt;=Assumptions!$B$84,Assumptions!$C$84,Assumptions!$C$83)))</f>
        <v>1</v>
      </c>
      <c r="R8" s="158" t="n">
        <f aca="false">O8*Q8*0.1</f>
        <v>126967.476383949</v>
      </c>
      <c r="S8" s="158" t="n">
        <f aca="false">P8*0.1</f>
        <v>739664.104280407</v>
      </c>
    </row>
    <row r="9" customFormat="false" ht="15" hidden="false" customHeight="true" outlineLevel="0" collapsed="false">
      <c r="A9" s="155" t="s">
        <v>278</v>
      </c>
      <c r="B9" s="156" t="n">
        <f aca="false">SUM(Helpers!AY96:BJ96)</f>
        <v>124186779</v>
      </c>
      <c r="C9" s="156" t="n">
        <f aca="false">(SUM(Helpers!AY97:BJ97)-SUM(Helpers!AY96:BJ96))*(Assumptions!$B$10+Assumptions!$B$12)/Assumptions!$B$9</f>
        <v>9163493.99999999</v>
      </c>
      <c r="D9" s="156" t="n">
        <f aca="false">(SUM(Helpers!AY97:BJ97)-SUM(Helpers!AY96:BJ96))*Assumptions!$B$11/Assumptions!$B$9</f>
        <v>6872587.2</v>
      </c>
      <c r="E9" s="156" t="n">
        <v>0</v>
      </c>
      <c r="F9" s="157" t="n">
        <f aca="false">SUM(Helpers!AY97:BJ97)</f>
        <v>140222860.2</v>
      </c>
      <c r="G9" s="156" t="n">
        <f aca="false">SUM(Helpers!AY99:BJ99)</f>
        <v>10717694.6107839</v>
      </c>
      <c r="H9" s="157" t="n">
        <f aca="false">SUM(Helpers!AY100:BJ100)</f>
        <v>9513427.93803791</v>
      </c>
      <c r="I9" s="158" t="n">
        <f aca="false">-SUM(Model!AX234:BI234)</f>
        <v>1110759.40366336</v>
      </c>
      <c r="J9" s="156" t="n">
        <f aca="false">Personnel!$C$46</f>
        <v>222000</v>
      </c>
      <c r="K9" s="159" t="n">
        <f aca="false">I9+J9</f>
        <v>1332759.40366336</v>
      </c>
      <c r="L9" s="160" t="n">
        <f aca="false">IFERROR(I9/K9,0)</f>
        <v>0.833428299669252</v>
      </c>
      <c r="M9" s="158" t="n">
        <f aca="false">SUM(Helpers!AY101:BJ101)</f>
        <v>20689161</v>
      </c>
      <c r="N9" s="158" t="n">
        <f aca="false">B9-M9</f>
        <v>103497618</v>
      </c>
      <c r="O9" s="158" t="n">
        <f aca="false">IFERROR(H9*M9/B9,0)</f>
        <v>1584909.79359376</v>
      </c>
      <c r="P9" s="158" t="n">
        <f aca="false">H9-O9</f>
        <v>7928518.14444415</v>
      </c>
      <c r="Q9" s="161" t="n">
        <f aca="false">IF(N9&gt;=Assumptions!$B$86,Assumptions!$C$86,IF(N9&gt;=Assumptions!$B$85,Assumptions!$C$85,IF(N9&gt;=Assumptions!$B$84,Assumptions!$C$84,Assumptions!$C$83)))</f>
        <v>1</v>
      </c>
      <c r="R9" s="158" t="n">
        <f aca="false">O9*Q9*0.1</f>
        <v>158490.979359376</v>
      </c>
      <c r="S9" s="158" t="n">
        <f aca="false">P9*0.1</f>
        <v>792851.814444415</v>
      </c>
    </row>
    <row r="10" customFormat="false" ht="15" hidden="false" customHeight="true" outlineLevel="0" collapsed="false">
      <c r="A10" s="162" t="s">
        <v>279</v>
      </c>
      <c r="B10" s="163" t="n">
        <f aca="false">SUM(Helpers!BK96:BV96)</f>
        <v>101576343</v>
      </c>
      <c r="C10" s="163" t="n">
        <f aca="false">(SUM(Helpers!BK97:BV97)-SUM(Helpers!BK96:BV96))*(Assumptions!$B$10+Assumptions!$B$12)/Assumptions!$B$9</f>
        <v>6449531.25</v>
      </c>
      <c r="D10" s="163" t="n">
        <f aca="false">(SUM(Helpers!BK97:BV97)-SUM(Helpers!BK96:BV96))*Assumptions!$B$11/Assumptions!$B$9</f>
        <v>4837125</v>
      </c>
      <c r="E10" s="163" t="n">
        <v>0</v>
      </c>
      <c r="F10" s="164" t="n">
        <f aca="false">SUM(Helpers!BK97:BV97)</f>
        <v>112862999.25</v>
      </c>
      <c r="G10" s="163" t="n">
        <f aca="false">SUM(Helpers!BK99:BV99)</f>
        <v>5100281.66234929</v>
      </c>
      <c r="H10" s="164" t="n">
        <f aca="false">SUM(Helpers!BK100:BV100)</f>
        <v>5100281.66234929</v>
      </c>
      <c r="I10" s="165" t="n">
        <f aca="false">-SUM(Model!BJ234:BU234)</f>
        <v>360834.412303904</v>
      </c>
      <c r="J10" s="163" t="n">
        <f aca="false">Personnel!$C$46</f>
        <v>222000</v>
      </c>
      <c r="K10" s="166" t="n">
        <f aca="false">I10+J10</f>
        <v>582834.412303904</v>
      </c>
      <c r="L10" s="167" t="n">
        <f aca="false">IFERROR(I10/K10,0)</f>
        <v>0.619102792639767</v>
      </c>
      <c r="M10" s="158" t="n">
        <f aca="false">SUM(Helpers!BK101:BV101)</f>
        <v>20255685</v>
      </c>
      <c r="N10" s="158" t="n">
        <f aca="false">B10-M10</f>
        <v>81320658</v>
      </c>
      <c r="O10" s="158" t="n">
        <f aca="false">IFERROR(H10*M10/B10,0)</f>
        <v>1017064.56161573</v>
      </c>
      <c r="P10" s="158" t="n">
        <f aca="false">H10-O10</f>
        <v>4083217.10073357</v>
      </c>
      <c r="Q10" s="161" t="n">
        <f aca="false">IF(N10&gt;=Assumptions!$B$86,Assumptions!$C$86,IF(N10&gt;=Assumptions!$B$85,Assumptions!$C$85,IF(N10&gt;=Assumptions!$B$84,Assumptions!$C$84,Assumptions!$C$83)))</f>
        <v>1</v>
      </c>
      <c r="R10" s="158" t="n">
        <f aca="false">O10*Q10*0.1</f>
        <v>101706.456161573</v>
      </c>
      <c r="S10" s="158" t="n">
        <f aca="false">P10*0.1</f>
        <v>408321.710073357</v>
      </c>
    </row>
    <row r="11" customFormat="false" ht="15" hidden="false" customHeight="true" outlineLevel="0" collapsed="false">
      <c r="A11" s="155" t="s">
        <v>280</v>
      </c>
      <c r="B11" s="156" t="n">
        <f aca="false">SUM(Helpers!BW96:CH96)</f>
        <v>8436822</v>
      </c>
      <c r="C11" s="156" t="n">
        <f aca="false">(SUM(Helpers!BW97:CH97)-SUM(Helpers!BW96:CH96))*(Assumptions!$B$10+Assumptions!$B$12)/Assumptions!$B$9</f>
        <v>1104159.75</v>
      </c>
      <c r="D11" s="156" t="n">
        <f aca="false">(SUM(Helpers!BW97:CH97)-SUM(Helpers!BW96:CH96))*Assumptions!$B$11/Assumptions!$B$9</f>
        <v>828115.8</v>
      </c>
      <c r="E11" s="156" t="n">
        <v>0</v>
      </c>
      <c r="F11" s="157" t="n">
        <f aca="false">SUM(Helpers!BW97:CH97)</f>
        <v>10369097.55</v>
      </c>
      <c r="G11" s="156" t="n">
        <f aca="false">SUM(Helpers!BW99:CH99)</f>
        <v>-3059443.62421954</v>
      </c>
      <c r="H11" s="157" t="n">
        <f aca="false">SUM(Helpers!BW100:CH100)</f>
        <v>-133780.66002188</v>
      </c>
      <c r="I11" s="158" t="n">
        <f aca="false">-SUM(Model!BV234:CG234)</f>
        <v>167978.942483162</v>
      </c>
      <c r="J11" s="156" t="n">
        <f aca="false">Personnel!$C$46</f>
        <v>222000</v>
      </c>
      <c r="K11" s="159" t="n">
        <f aca="false">I11+J11</f>
        <v>389978.942483162</v>
      </c>
      <c r="L11" s="160" t="n">
        <f aca="false">IFERROR(I11/K11,0)</f>
        <v>0.430738494272456</v>
      </c>
      <c r="M11" s="158" t="n">
        <f aca="false">SUM(Helpers!BW101:CH101)</f>
        <v>2975850</v>
      </c>
      <c r="N11" s="158" t="n">
        <f aca="false">B11-M11</f>
        <v>5460972</v>
      </c>
      <c r="O11" s="158" t="n">
        <f aca="false">IFERROR(H11*M11/B11,0)</f>
        <v>-47187.3386834652</v>
      </c>
      <c r="P11" s="158" t="n">
        <f aca="false">H11-O11</f>
        <v>-86593.3213384144</v>
      </c>
      <c r="Q11" s="161" t="n">
        <f aca="false">IF(N11&gt;=Assumptions!$B$86,Assumptions!$C$86,IF(N11&gt;=Assumptions!$B$85,Assumptions!$C$85,IF(N11&gt;=Assumptions!$B$84,Assumptions!$C$84,Assumptions!$C$83)))</f>
        <v>0.25</v>
      </c>
      <c r="R11" s="158" t="n">
        <f aca="false">O11*Q11*0.1</f>
        <v>-1179.68346708663</v>
      </c>
      <c r="S11" s="158" t="n">
        <f aca="false">P11*0.1</f>
        <v>-8659.33213384144</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550</v>
      </c>
      <c r="B13" s="168" t="n">
        <f aca="false">SUM(B5:B12)</f>
        <v>397026330.58</v>
      </c>
      <c r="C13" s="168" t="n">
        <f aca="false">SUM(C5:C12)</f>
        <v>27313426.4122511</v>
      </c>
      <c r="D13" s="168" t="n">
        <f aca="false">SUM(D5:D12)</f>
        <v>20484970.5526057</v>
      </c>
      <c r="E13" s="168" t="n">
        <f aca="false">SUM(E5:E12)</f>
        <v>0</v>
      </c>
      <c r="F13" s="168" t="n">
        <f aca="false">SUM(F5:F12)</f>
        <v>444824727.544857</v>
      </c>
      <c r="G13" s="168" t="n">
        <f aca="false">SUM(G5:G12)</f>
        <v>38249342.0981887</v>
      </c>
      <c r="H13" s="168" t="n">
        <f aca="false">SUM(H5:H12)</f>
        <v>25673335.7163889</v>
      </c>
      <c r="I13" s="169" t="n">
        <f aca="false">SUM(I5:I12)</f>
        <v>2477656.59271858</v>
      </c>
      <c r="J13" s="168" t="n">
        <f aca="false">SUM(J5:J12)</f>
        <v>1720500</v>
      </c>
      <c r="K13" s="168" t="n">
        <f aca="false">SUM(K5:K12)</f>
        <v>4198156.59271858</v>
      </c>
      <c r="L13" s="170" t="n">
        <f aca="false">IFERROR(I13/K13,0)</f>
        <v>0.590177268998471</v>
      </c>
      <c r="M13" s="169" t="n">
        <f aca="false">SUM(M5:M12)</f>
        <v>63000000</v>
      </c>
      <c r="N13" s="169" t="n">
        <f aca="false">SUM(N5:N12)</f>
        <v>334026330.58</v>
      </c>
      <c r="O13" s="169" t="n">
        <f aca="false">SUM(O5:O12)</f>
        <v>3881530.81126862</v>
      </c>
      <c r="P13" s="169" t="n">
        <f aca="false">SUM(P5:P12)</f>
        <v>21791804.9051203</v>
      </c>
      <c r="Q13" s="171" t="n">
        <f aca="false">IFERROR(R13/O13,0)</f>
        <v>0.100176631048275</v>
      </c>
      <c r="R13" s="169" t="n">
        <f aca="false">SUM(R5:R12)</f>
        <v>388838.679982967</v>
      </c>
      <c r="S13" s="169" t="n">
        <f aca="false">SUM(S5:S12)</f>
        <v>2179180.49051203</v>
      </c>
    </row>
    <row r="15" customFormat="false" ht="15" hidden="false" customHeight="true" outlineLevel="0" collapsed="false">
      <c r="A15" s="94" t="s">
        <v>206</v>
      </c>
    </row>
    <row r="16" customFormat="false" ht="15" hidden="false" customHeight="true" outlineLevel="0" collapsed="false">
      <c r="A16" s="172" t="s">
        <v>551</v>
      </c>
      <c r="B16" s="172"/>
      <c r="C16" s="172"/>
      <c r="D16" s="172"/>
      <c r="E16" s="172"/>
      <c r="F16" s="172"/>
      <c r="G16" s="172"/>
      <c r="H16" s="172"/>
    </row>
    <row r="17" customFormat="false" ht="15" hidden="false" customHeight="true" outlineLevel="0" collapsed="false">
      <c r="A17" s="172" t="s">
        <v>552</v>
      </c>
      <c r="B17" s="172"/>
      <c r="C17" s="172"/>
      <c r="D17" s="172"/>
      <c r="E17" s="172"/>
      <c r="F17" s="172"/>
      <c r="G17" s="172"/>
      <c r="H17" s="172"/>
    </row>
    <row r="18" customFormat="false" ht="15" hidden="false" customHeight="true" outlineLevel="0" collapsed="false">
      <c r="A18" s="172" t="s">
        <v>553</v>
      </c>
      <c r="B18" s="172"/>
      <c r="C18" s="172"/>
      <c r="D18" s="172"/>
      <c r="E18" s="172"/>
      <c r="F18" s="172"/>
      <c r="G18" s="172"/>
      <c r="H18" s="172"/>
    </row>
    <row r="19" customFormat="false" ht="15" hidden="false" customHeight="true" outlineLevel="0" collapsed="false">
      <c r="A19" s="172" t="s">
        <v>554</v>
      </c>
      <c r="B19" s="172"/>
      <c r="C19" s="172"/>
      <c r="D19" s="172"/>
      <c r="E19" s="172"/>
      <c r="F19" s="172"/>
      <c r="G19" s="172"/>
      <c r="H19" s="172"/>
    </row>
    <row r="20" customFormat="false" ht="15" hidden="false" customHeight="true" outlineLevel="0" collapsed="false">
      <c r="A20" s="172" t="s">
        <v>555</v>
      </c>
      <c r="B20" s="172"/>
      <c r="C20" s="172"/>
      <c r="D20" s="172"/>
      <c r="E20" s="172"/>
      <c r="F20" s="172"/>
      <c r="G20" s="172"/>
      <c r="H20" s="172"/>
    </row>
    <row r="21" customFormat="false" ht="15" hidden="false" customHeight="true" outlineLevel="0" collapsed="false">
      <c r="A21" s="72" t="s">
        <v>556</v>
      </c>
    </row>
    <row r="22" customFormat="false" ht="15" hidden="false" customHeight="true" outlineLevel="0" collapsed="false">
      <c r="A22" s="72" t="s">
        <v>557</v>
      </c>
    </row>
    <row r="23" customFormat="false" ht="15" hidden="false" customHeight="true" outlineLevel="0" collapsed="false">
      <c r="A23" s="72" t="s">
        <v>558</v>
      </c>
    </row>
    <row r="24" customFormat="false" ht="15" hidden="false" customHeight="true" outlineLevel="0" collapsed="false">
      <c r="A24" s="72" t="s">
        <v>559</v>
      </c>
    </row>
    <row r="25" customFormat="false" ht="15" hidden="false" customHeight="true" outlineLevel="0" collapsed="false">
      <c r="A25" s="72" t="s">
        <v>560</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226562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561</v>
      </c>
      <c r="B1" s="44" t="s">
        <v>562</v>
      </c>
      <c r="C1" s="44" t="s">
        <v>563</v>
      </c>
      <c r="D1" s="44" t="s">
        <v>564</v>
      </c>
      <c r="E1" s="44" t="s">
        <v>565</v>
      </c>
      <c r="F1" s="44" t="s">
        <v>566</v>
      </c>
      <c r="G1" s="44" t="s">
        <v>567</v>
      </c>
      <c r="H1" s="44" t="s">
        <v>568</v>
      </c>
      <c r="I1" s="44" t="s">
        <v>569</v>
      </c>
      <c r="J1" s="44" t="s">
        <v>570</v>
      </c>
      <c r="K1" s="44" t="s">
        <v>571</v>
      </c>
      <c r="L1" s="44" t="s">
        <v>572</v>
      </c>
      <c r="N1" s="44" t="s">
        <v>573</v>
      </c>
      <c r="O1" s="44" t="s">
        <v>574</v>
      </c>
      <c r="P1" s="44" t="s">
        <v>575</v>
      </c>
      <c r="Q1" s="44" t="s">
        <v>576</v>
      </c>
      <c r="R1" s="44" t="s">
        <v>577</v>
      </c>
      <c r="S1" s="44" t="s">
        <v>578</v>
      </c>
      <c r="T1" s="44" t="s">
        <v>579</v>
      </c>
      <c r="V1" s="1" t="s">
        <v>580</v>
      </c>
      <c r="W1" s="173" t="s">
        <v>581</v>
      </c>
      <c r="X1" s="174" t="s">
        <v>582</v>
      </c>
    </row>
    <row r="2" customFormat="false" ht="15" hidden="false" customHeight="true" outlineLevel="0" collapsed="false">
      <c r="A2" s="175" t="s">
        <v>7</v>
      </c>
      <c r="B2" s="176" t="n">
        <v>7126075</v>
      </c>
      <c r="C2" s="177" t="n">
        <v>1</v>
      </c>
      <c r="D2" s="177" t="n">
        <v>8</v>
      </c>
      <c r="E2" s="177" t="n">
        <v>2</v>
      </c>
      <c r="F2" s="177" t="s">
        <v>583</v>
      </c>
      <c r="G2" s="177" t="s">
        <v>584</v>
      </c>
      <c r="H2" s="177" t="n">
        <v>0</v>
      </c>
      <c r="I2" s="178" t="n">
        <f aca="false">IF(H2=1,Assumptions!$B$16,IF(H2=2,Assumptions!$B$17,0))</f>
        <v>0</v>
      </c>
      <c r="J2" s="177" t="s">
        <v>583</v>
      </c>
      <c r="K2" s="177" t="s">
        <v>583</v>
      </c>
      <c r="L2" s="177" t="s">
        <v>585</v>
      </c>
      <c r="N2" s="176" t="n">
        <v>194932</v>
      </c>
      <c r="O2" s="176" t="n">
        <f aca="false">B2*Assumptions!$B$11</f>
        <v>367676.9657</v>
      </c>
      <c r="P2" s="176" t="n">
        <v>46323</v>
      </c>
      <c r="Q2" s="176" t="n">
        <f aca="false">N2+O2+P2</f>
        <v>608931.9657</v>
      </c>
      <c r="R2" s="176" t="n">
        <f aca="false">Q2*0.05</f>
        <v>30446.598285</v>
      </c>
      <c r="S2" s="175" t="n">
        <f aca="false">C2+D2-1</f>
        <v>8</v>
      </c>
      <c r="T2" s="179"/>
      <c r="V2" s="1" t="s">
        <v>586</v>
      </c>
      <c r="W2" s="180" t="n">
        <f aca="false">C2+D2-1</f>
        <v>8</v>
      </c>
    </row>
    <row r="3" customFormat="false" ht="15" hidden="false" customHeight="true" outlineLevel="0" collapsed="false">
      <c r="A3" s="175" t="s">
        <v>8</v>
      </c>
      <c r="B3" s="176" t="n">
        <v>20176449</v>
      </c>
      <c r="C3" s="177" t="n">
        <v>1</v>
      </c>
      <c r="D3" s="177"/>
      <c r="E3" s="177"/>
      <c r="F3" s="177" t="s">
        <v>583</v>
      </c>
      <c r="G3" s="177" t="s">
        <v>584</v>
      </c>
      <c r="H3" s="177" t="n">
        <v>0</v>
      </c>
      <c r="I3" s="178" t="n">
        <f aca="false">IF(H3=1,Assumptions!$B$16,IF(H3=2,Assumptions!$B$17,0))</f>
        <v>0</v>
      </c>
      <c r="J3" s="177" t="s">
        <v>583</v>
      </c>
      <c r="K3" s="177" t="s">
        <v>583</v>
      </c>
      <c r="L3" s="177" t="s">
        <v>585</v>
      </c>
      <c r="N3" s="176" t="n">
        <v>888067</v>
      </c>
      <c r="O3" s="176" t="n">
        <f aca="false">B3*Assumptions!$B$11</f>
        <v>1041024.062604</v>
      </c>
      <c r="P3" s="176" t="n">
        <v>176626</v>
      </c>
      <c r="Q3" s="176" t="n">
        <f aca="false">N3+O3+P3</f>
        <v>2105717.062604</v>
      </c>
      <c r="R3" s="176" t="n">
        <f aca="false">Q3*0.05</f>
        <v>105285.8531302</v>
      </c>
      <c r="S3" s="175" t="n">
        <f aca="false">C3+D3-1</f>
        <v>0</v>
      </c>
      <c r="T3" s="179"/>
      <c r="V3" s="1" t="s">
        <v>587</v>
      </c>
      <c r="W3" s="180" t="n">
        <v>18</v>
      </c>
    </row>
    <row r="4" customFormat="false" ht="15" hidden="false" customHeight="true" outlineLevel="0" collapsed="false">
      <c r="A4" s="175" t="s">
        <v>9</v>
      </c>
      <c r="B4" s="176" t="n">
        <v>11929880</v>
      </c>
      <c r="C4" s="177" t="n">
        <v>1</v>
      </c>
      <c r="D4" s="177"/>
      <c r="E4" s="177"/>
      <c r="F4" s="177" t="s">
        <v>584</v>
      </c>
      <c r="G4" s="177" t="s">
        <v>584</v>
      </c>
      <c r="H4" s="177" t="n">
        <v>1</v>
      </c>
      <c r="I4" s="178" t="n">
        <f aca="false">IF(H4=1,Assumptions!$B$16,IF(H4=2,Assumptions!$B$17,0))</f>
        <v>0.0074</v>
      </c>
      <c r="J4" s="177" t="s">
        <v>583</v>
      </c>
      <c r="K4" s="177" t="s">
        <v>584</v>
      </c>
      <c r="L4" s="177" t="s">
        <v>588</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584</v>
      </c>
      <c r="G5" s="177" t="s">
        <v>584</v>
      </c>
      <c r="H5" s="177" t="n">
        <v>1</v>
      </c>
      <c r="I5" s="178" t="n">
        <f aca="false">IF(H5=1,Assumptions!$B$16,IF(H5=2,Assumptions!$B$17,0))</f>
        <v>0.0074</v>
      </c>
      <c r="J5" s="177" t="s">
        <v>583</v>
      </c>
      <c r="K5" s="177" t="s">
        <v>584</v>
      </c>
      <c r="L5" s="177" t="s">
        <v>588</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583</v>
      </c>
      <c r="G6" s="177" t="s">
        <v>584</v>
      </c>
      <c r="H6" s="177" t="n">
        <v>0</v>
      </c>
      <c r="I6" s="178" t="n">
        <f aca="false">IF(H6=1,Assumptions!$B$16,IF(H6=2,Assumptions!$B$17,0))</f>
        <v>0</v>
      </c>
      <c r="J6" s="177" t="s">
        <v>583</v>
      </c>
      <c r="K6" s="177" t="s">
        <v>584</v>
      </c>
      <c r="L6" s="177" t="s">
        <v>588</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584</v>
      </c>
      <c r="G7" s="177" t="s">
        <v>584</v>
      </c>
      <c r="H7" s="177" t="n">
        <v>1</v>
      </c>
      <c r="I7" s="178" t="n">
        <f aca="false">Assumptions!$B$18</f>
        <v>0.00725158134079107</v>
      </c>
      <c r="J7" s="177" t="s">
        <v>584</v>
      </c>
      <c r="K7" s="177" t="s">
        <v>584</v>
      </c>
      <c r="L7" s="177" t="s">
        <v>585</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584</v>
      </c>
      <c r="G8" s="177" t="s">
        <v>584</v>
      </c>
      <c r="H8" s="177" t="n">
        <v>1</v>
      </c>
      <c r="I8" s="178" t="n">
        <f aca="false">Assumptions!$B$18</f>
        <v>0.00725158134079107</v>
      </c>
      <c r="J8" s="177" t="s">
        <v>583</v>
      </c>
      <c r="K8" s="177" t="s">
        <v>584</v>
      </c>
      <c r="L8" s="177" t="s">
        <v>588</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584</v>
      </c>
      <c r="G9" s="177" t="s">
        <v>584</v>
      </c>
      <c r="H9" s="177" t="n">
        <v>1</v>
      </c>
      <c r="I9" s="178" t="n">
        <v>0</v>
      </c>
      <c r="J9" s="177" t="s">
        <v>583</v>
      </c>
      <c r="K9" s="177" t="s">
        <v>584</v>
      </c>
      <c r="L9" s="177" t="s">
        <v>588</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584</v>
      </c>
      <c r="G10" s="177" t="s">
        <v>584</v>
      </c>
      <c r="H10" s="177" t="n">
        <v>2</v>
      </c>
      <c r="I10" s="178" t="n">
        <f aca="false">IF(H10=1,Assumptions!$B$16,IF(H10=2,Assumptions!$B$17,0))</f>
        <v>0.0325</v>
      </c>
      <c r="J10" s="177" t="s">
        <v>583</v>
      </c>
      <c r="K10" s="177" t="s">
        <v>584</v>
      </c>
      <c r="L10" s="177" t="s">
        <v>588</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583</v>
      </c>
      <c r="G11" s="177" t="s">
        <v>584</v>
      </c>
      <c r="H11" s="177" t="n">
        <v>0</v>
      </c>
      <c r="I11" s="178" t="n">
        <f aca="false">IF(H11=1,Assumptions!$B$16,IF(H11=2,Assumptions!$B$17,0))</f>
        <v>0</v>
      </c>
      <c r="J11" s="177" t="s">
        <v>583</v>
      </c>
      <c r="K11" s="177" t="s">
        <v>583</v>
      </c>
      <c r="L11" s="177" t="s">
        <v>585</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583</v>
      </c>
      <c r="G12" s="177" t="s">
        <v>584</v>
      </c>
      <c r="H12" s="177" t="n">
        <v>0</v>
      </c>
      <c r="I12" s="178" t="n">
        <f aca="false">IF(H12=1,Assumptions!$B$16,IF(H12=2,Assumptions!$B$17,0))</f>
        <v>0</v>
      </c>
      <c r="J12" s="177" t="s">
        <v>583</v>
      </c>
      <c r="K12" s="177" t="s">
        <v>583</v>
      </c>
      <c r="L12" s="177" t="s">
        <v>585</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584</v>
      </c>
      <c r="G13" s="177" t="s">
        <v>584</v>
      </c>
      <c r="H13" s="177" t="n">
        <v>2</v>
      </c>
      <c r="I13" s="178" t="n">
        <f aca="false">IF(H13=1,Assumptions!$B$16,IF(H13=2,Assumptions!$B$17,0))</f>
        <v>0.0325</v>
      </c>
      <c r="J13" s="177" t="s">
        <v>584</v>
      </c>
      <c r="K13" s="177" t="s">
        <v>584</v>
      </c>
      <c r="L13" s="177" t="s">
        <v>585</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584</v>
      </c>
      <c r="G14" s="177" t="s">
        <v>584</v>
      </c>
      <c r="H14" s="177" t="n">
        <v>2</v>
      </c>
      <c r="I14" s="178" t="n">
        <f aca="false">IF(H14=1,Assumptions!$B$16,IF(H14=2,Assumptions!$B$17,0))</f>
        <v>0.0325</v>
      </c>
      <c r="J14" s="177" t="s">
        <v>584</v>
      </c>
      <c r="K14" s="177" t="s">
        <v>584</v>
      </c>
      <c r="L14" s="177" t="s">
        <v>585</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589</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584</v>
      </c>
      <c r="G17" s="177" t="s">
        <v>584</v>
      </c>
      <c r="H17" s="177" t="n">
        <v>2</v>
      </c>
      <c r="I17" s="178" t="n">
        <f aca="false">IF(H17=1,Assumptions!$B$16,IF(H17=2,Assumptions!$B$17,0))</f>
        <v>0.0325</v>
      </c>
      <c r="J17" s="177" t="s">
        <v>583</v>
      </c>
      <c r="K17" s="177" t="s">
        <v>583</v>
      </c>
      <c r="L17" s="177" t="s">
        <v>585</v>
      </c>
      <c r="M17" s="182" t="s">
        <v>584</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583</v>
      </c>
    </row>
    <row r="18" customFormat="false" ht="15" hidden="false" customHeight="true" outlineLevel="0" collapsed="false">
      <c r="A18" s="175" t="s">
        <v>21</v>
      </c>
      <c r="B18" s="176" t="n">
        <v>11537565</v>
      </c>
      <c r="C18" s="177" t="n">
        <v>14</v>
      </c>
      <c r="D18" s="177" t="n">
        <v>19</v>
      </c>
      <c r="E18" s="177" t="n">
        <v>3</v>
      </c>
      <c r="F18" s="177" t="s">
        <v>584</v>
      </c>
      <c r="G18" s="177" t="s">
        <v>584</v>
      </c>
      <c r="H18" s="177" t="n">
        <v>2</v>
      </c>
      <c r="I18" s="178" t="n">
        <f aca="false">IF(H18=1,Assumptions!$B$16,IF(H18=2,Assumptions!$B$17,0))</f>
        <v>0.0325</v>
      </c>
      <c r="J18" s="177" t="s">
        <v>583</v>
      </c>
      <c r="K18" s="177" t="s">
        <v>583</v>
      </c>
      <c r="L18" s="177" t="s">
        <v>585</v>
      </c>
      <c r="M18" s="182" t="s">
        <v>584</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583</v>
      </c>
    </row>
    <row r="19" customFormat="false" ht="15" hidden="false" customHeight="true" outlineLevel="0" collapsed="false">
      <c r="A19" s="175" t="s">
        <v>22</v>
      </c>
      <c r="B19" s="176" t="n">
        <v>18764585</v>
      </c>
      <c r="C19" s="177" t="n">
        <v>13</v>
      </c>
      <c r="D19" s="177" t="n">
        <v>18</v>
      </c>
      <c r="E19" s="177" t="n">
        <v>3</v>
      </c>
      <c r="F19" s="177" t="s">
        <v>584</v>
      </c>
      <c r="G19" s="177" t="s">
        <v>584</v>
      </c>
      <c r="H19" s="177" t="n">
        <v>2</v>
      </c>
      <c r="I19" s="178" t="n">
        <f aca="false">IF(H19=1,Assumptions!$B$16,IF(H19=2,Assumptions!$B$17,0))</f>
        <v>0.0325</v>
      </c>
      <c r="J19" s="177" t="s">
        <v>583</v>
      </c>
      <c r="K19" s="177" t="s">
        <v>583</v>
      </c>
      <c r="L19" s="177" t="s">
        <v>585</v>
      </c>
      <c r="M19" s="182" t="s">
        <v>584</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583</v>
      </c>
    </row>
    <row r="20" customFormat="false" ht="15" hidden="false" customHeight="true" outlineLevel="0" collapsed="false">
      <c r="A20" s="175" t="s">
        <v>23</v>
      </c>
      <c r="B20" s="176" t="n">
        <v>25026330.58</v>
      </c>
      <c r="C20" s="177" t="n">
        <v>20</v>
      </c>
      <c r="D20" s="177" t="n">
        <v>24</v>
      </c>
      <c r="E20" s="177" t="n">
        <v>2</v>
      </c>
      <c r="F20" s="177" t="s">
        <v>583</v>
      </c>
      <c r="G20" s="177" t="s">
        <v>584</v>
      </c>
      <c r="H20" s="177" t="n">
        <v>0</v>
      </c>
      <c r="I20" s="178" t="n">
        <f aca="false">IF(H20=1,Assumptions!$B$16,IF(H20=2,Assumptions!$B$17,0))</f>
        <v>0</v>
      </c>
      <c r="J20" s="177" t="s">
        <v>583</v>
      </c>
      <c r="K20" s="177" t="s">
        <v>583</v>
      </c>
      <c r="L20" s="177" t="s">
        <v>588</v>
      </c>
      <c r="M20" s="182" t="s">
        <v>583</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584</v>
      </c>
    </row>
    <row r="21" customFormat="false" ht="15" hidden="false" customHeight="true" outlineLevel="0" collapsed="false">
      <c r="A21" s="175" t="s">
        <v>590</v>
      </c>
      <c r="B21" s="176" t="n">
        <v>14935493</v>
      </c>
      <c r="C21" s="177" t="n">
        <v>9</v>
      </c>
      <c r="D21" s="177" t="n">
        <v>20</v>
      </c>
      <c r="E21" s="177" t="n">
        <v>3</v>
      </c>
      <c r="F21" s="177" t="s">
        <v>583</v>
      </c>
      <c r="G21" s="177" t="s">
        <v>584</v>
      </c>
      <c r="H21" s="177" t="n">
        <v>0</v>
      </c>
      <c r="I21" s="178" t="n">
        <f aca="false">IF(H21=1,Assumptions!$B$16,IF(H21=2,Assumptions!$B$17,0))</f>
        <v>0</v>
      </c>
      <c r="J21" s="177" t="s">
        <v>583</v>
      </c>
      <c r="K21" s="177" t="s">
        <v>583</v>
      </c>
      <c r="L21" s="177" t="s">
        <v>588</v>
      </c>
      <c r="M21" s="182" t="s">
        <v>584</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583</v>
      </c>
    </row>
    <row r="22" customFormat="false" ht="15" hidden="false" customHeight="true" outlineLevel="0" collapsed="false">
      <c r="A22" s="175" t="s">
        <v>25</v>
      </c>
      <c r="B22" s="176" t="n">
        <v>13706000</v>
      </c>
      <c r="C22" s="177" t="n">
        <v>19</v>
      </c>
      <c r="D22" s="177" t="n">
        <v>19</v>
      </c>
      <c r="E22" s="177" t="n">
        <v>3</v>
      </c>
      <c r="F22" s="177" t="s">
        <v>584</v>
      </c>
      <c r="G22" s="177" t="s">
        <v>584</v>
      </c>
      <c r="H22" s="177" t="n">
        <v>2</v>
      </c>
      <c r="I22" s="178" t="n">
        <f aca="false">IF(H22=1,Assumptions!$B$16,IF(H22=2,Assumptions!$B$17,0))</f>
        <v>0.0325</v>
      </c>
      <c r="J22" s="177" t="s">
        <v>583</v>
      </c>
      <c r="K22" s="177" t="s">
        <v>583</v>
      </c>
      <c r="L22" s="177" t="s">
        <v>585</v>
      </c>
      <c r="M22" s="182" t="s">
        <v>584</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583</v>
      </c>
    </row>
    <row r="23" customFormat="false" ht="15" hidden="false" customHeight="true" outlineLevel="0" collapsed="false">
      <c r="A23" s="175" t="s">
        <v>26</v>
      </c>
      <c r="B23" s="176" t="n">
        <v>15000000</v>
      </c>
      <c r="C23" s="177" t="n">
        <v>17</v>
      </c>
      <c r="D23" s="177" t="n">
        <v>19</v>
      </c>
      <c r="E23" s="177" t="n">
        <v>3</v>
      </c>
      <c r="F23" s="177" t="s">
        <v>584</v>
      </c>
      <c r="G23" s="177" t="s">
        <v>583</v>
      </c>
      <c r="H23" s="177" t="n">
        <v>2</v>
      </c>
      <c r="I23" s="178" t="n">
        <f aca="false">IF(H23=1,Assumptions!$B$16,IF(H23=2,Assumptions!$B$17,0))</f>
        <v>0.0325</v>
      </c>
      <c r="J23" s="177" t="s">
        <v>583</v>
      </c>
      <c r="K23" s="177" t="s">
        <v>583</v>
      </c>
      <c r="L23" s="177" t="s">
        <v>588</v>
      </c>
      <c r="M23" s="182" t="s">
        <v>584</v>
      </c>
      <c r="N23" s="176" t="n">
        <v>730519</v>
      </c>
      <c r="O23" s="176" t="n">
        <v>730519</v>
      </c>
      <c r="P23" s="176" t="n">
        <v>243506</v>
      </c>
      <c r="Q23" s="176" t="n">
        <f aca="false">N23+O23+P23</f>
        <v>1704544</v>
      </c>
      <c r="R23" s="176" t="n">
        <f aca="false">Q23*0.05</f>
        <v>85227.2</v>
      </c>
      <c r="S23" s="175" t="n">
        <f aca="false">C23+D23-1</f>
        <v>35</v>
      </c>
      <c r="T23" s="179" t="n">
        <f aca="false">Assumptions!$B$15</f>
        <v>0.015</v>
      </c>
      <c r="W23" s="180" t="n">
        <f aca="false">C23+D23-1</f>
        <v>35</v>
      </c>
      <c r="X23" s="1" t="s">
        <v>584</v>
      </c>
    </row>
    <row r="24" customFormat="false" ht="15" hidden="false" customHeight="true" outlineLevel="0" collapsed="false">
      <c r="A24" s="175" t="s">
        <v>27</v>
      </c>
      <c r="B24" s="176" t="n">
        <v>18000000</v>
      </c>
      <c r="C24" s="177" t="n">
        <v>24</v>
      </c>
      <c r="D24" s="177" t="n">
        <v>19</v>
      </c>
      <c r="E24" s="177" t="n">
        <v>3</v>
      </c>
      <c r="F24" s="177" t="s">
        <v>583</v>
      </c>
      <c r="G24" s="177" t="s">
        <v>584</v>
      </c>
      <c r="H24" s="177" t="n">
        <v>0</v>
      </c>
      <c r="I24" s="178" t="n">
        <f aca="false">IF(H24=1,Assumptions!$B$16,IF(H24=2,Assumptions!$B$17,0))</f>
        <v>0</v>
      </c>
      <c r="J24" s="177" t="s">
        <v>583</v>
      </c>
      <c r="K24" s="177" t="s">
        <v>583</v>
      </c>
      <c r="L24" s="177" t="s">
        <v>588</v>
      </c>
      <c r="M24" s="182" t="s">
        <v>583</v>
      </c>
      <c r="N24" s="176" t="n">
        <v>876623</v>
      </c>
      <c r="O24" s="176" t="n">
        <v>876623</v>
      </c>
      <c r="P24" s="176" t="n">
        <v>292208</v>
      </c>
      <c r="Q24" s="176" t="n">
        <f aca="false">N24+O24+P24</f>
        <v>2045454</v>
      </c>
      <c r="R24" s="176" t="n">
        <f aca="false">Q24*0.05</f>
        <v>102272.7</v>
      </c>
      <c r="S24" s="175" t="n">
        <f aca="false">C24+D24-1</f>
        <v>42</v>
      </c>
      <c r="T24" s="179"/>
      <c r="W24" s="180" t="n">
        <f aca="false">C24+D24-1</f>
        <v>42</v>
      </c>
      <c r="X24" s="1" t="s">
        <v>584</v>
      </c>
    </row>
    <row r="25" customFormat="false" ht="15" hidden="false" customHeight="true" outlineLevel="0" collapsed="false">
      <c r="A25" s="175" t="s">
        <v>28</v>
      </c>
      <c r="B25" s="176" t="n">
        <v>18000000</v>
      </c>
      <c r="C25" s="177" t="n">
        <v>29</v>
      </c>
      <c r="D25" s="177" t="n">
        <v>19</v>
      </c>
      <c r="E25" s="177" t="n">
        <v>3</v>
      </c>
      <c r="F25" s="177" t="s">
        <v>583</v>
      </c>
      <c r="G25" s="177" t="s">
        <v>584</v>
      </c>
      <c r="H25" s="177" t="n">
        <v>0</v>
      </c>
      <c r="I25" s="178" t="n">
        <f aca="false">IF(H25=1,Assumptions!$B$16,IF(H25=2,Assumptions!$B$17,0))</f>
        <v>0</v>
      </c>
      <c r="J25" s="177" t="s">
        <v>583</v>
      </c>
      <c r="K25" s="177" t="s">
        <v>583</v>
      </c>
      <c r="L25" s="177" t="s">
        <v>588</v>
      </c>
      <c r="M25" s="182" t="s">
        <v>583</v>
      </c>
      <c r="N25" s="176" t="n">
        <v>876623</v>
      </c>
      <c r="O25" s="176" t="n">
        <v>876623</v>
      </c>
      <c r="P25" s="176" t="n">
        <v>292208</v>
      </c>
      <c r="Q25" s="176" t="n">
        <f aca="false">N25+O25+P25</f>
        <v>2045454</v>
      </c>
      <c r="R25" s="176" t="n">
        <f aca="false">Q25*0.05</f>
        <v>102272.7</v>
      </c>
      <c r="S25" s="175" t="n">
        <f aca="false">C25+D25-1</f>
        <v>47</v>
      </c>
      <c r="T25" s="179"/>
      <c r="W25" s="180" t="n">
        <f aca="false">C25+D25-1</f>
        <v>47</v>
      </c>
      <c r="X25" s="1" t="s">
        <v>584</v>
      </c>
    </row>
    <row r="26" customFormat="false" ht="15" hidden="false" customHeight="true" outlineLevel="0" collapsed="false">
      <c r="A26" s="175" t="s">
        <v>29</v>
      </c>
      <c r="B26" s="176" t="n">
        <v>18000000</v>
      </c>
      <c r="C26" s="177" t="n">
        <v>30</v>
      </c>
      <c r="D26" s="177" t="n">
        <v>19</v>
      </c>
      <c r="E26" s="177" t="n">
        <v>3</v>
      </c>
      <c r="F26" s="177" t="s">
        <v>583</v>
      </c>
      <c r="G26" s="177" t="s">
        <v>584</v>
      </c>
      <c r="H26" s="177" t="n">
        <v>0</v>
      </c>
      <c r="I26" s="178" t="n">
        <f aca="false">IF(H26=1,Assumptions!$B$16,IF(H26=2,Assumptions!$B$17,0))</f>
        <v>0</v>
      </c>
      <c r="J26" s="177" t="s">
        <v>583</v>
      </c>
      <c r="K26" s="177" t="s">
        <v>583</v>
      </c>
      <c r="L26" s="177" t="s">
        <v>588</v>
      </c>
      <c r="M26" s="182" t="s">
        <v>583</v>
      </c>
      <c r="N26" s="176" t="n">
        <v>876623</v>
      </c>
      <c r="O26" s="176" t="n">
        <v>876623</v>
      </c>
      <c r="P26" s="176" t="n">
        <v>292208</v>
      </c>
      <c r="Q26" s="176" t="n">
        <f aca="false">N26+O26+P26</f>
        <v>2045454</v>
      </c>
      <c r="R26" s="176" t="n">
        <f aca="false">Q26*0.05</f>
        <v>102272.7</v>
      </c>
      <c r="S26" s="175" t="n">
        <f aca="false">C26+D26-1</f>
        <v>48</v>
      </c>
      <c r="T26" s="179"/>
      <c r="W26" s="180" t="n">
        <f aca="false">C26+D26-1</f>
        <v>48</v>
      </c>
      <c r="X26" s="1" t="s">
        <v>584</v>
      </c>
    </row>
    <row r="27" customFormat="false" ht="15" hidden="false" customHeight="true" outlineLevel="0" collapsed="false">
      <c r="A27" s="175" t="s">
        <v>30</v>
      </c>
      <c r="B27" s="176" t="n">
        <v>15000000</v>
      </c>
      <c r="C27" s="177" t="n">
        <v>31</v>
      </c>
      <c r="D27" s="177" t="n">
        <v>19</v>
      </c>
      <c r="E27" s="177" t="n">
        <v>3</v>
      </c>
      <c r="F27" s="177" t="s">
        <v>583</v>
      </c>
      <c r="G27" s="177" t="s">
        <v>584</v>
      </c>
      <c r="H27" s="177" t="n">
        <v>0</v>
      </c>
      <c r="I27" s="178" t="n">
        <f aca="false">IF(H27=1,Assumptions!$B$16,IF(H27=2,Assumptions!$B$17,0))</f>
        <v>0</v>
      </c>
      <c r="J27" s="177" t="s">
        <v>583</v>
      </c>
      <c r="K27" s="177" t="s">
        <v>583</v>
      </c>
      <c r="L27" s="177" t="s">
        <v>588</v>
      </c>
      <c r="M27" s="182" t="s">
        <v>583</v>
      </c>
      <c r="N27" s="176" t="n">
        <v>730519</v>
      </c>
      <c r="O27" s="176" t="n">
        <v>730519</v>
      </c>
      <c r="P27" s="176" t="n">
        <v>243506</v>
      </c>
      <c r="Q27" s="176" t="n">
        <f aca="false">N27+O27+P27</f>
        <v>1704544</v>
      </c>
      <c r="R27" s="176" t="n">
        <f aca="false">Q27*0.05</f>
        <v>85227.2</v>
      </c>
      <c r="S27" s="175" t="n">
        <f aca="false">C27+D27-1</f>
        <v>49</v>
      </c>
      <c r="T27" s="179"/>
      <c r="W27" s="180" t="n">
        <f aca="false">C27+D27-1</f>
        <v>49</v>
      </c>
      <c r="X27" s="1" t="s">
        <v>584</v>
      </c>
    </row>
    <row r="28" customFormat="false" ht="15" hidden="false" customHeight="true" outlineLevel="0" collapsed="false">
      <c r="A28" s="175" t="s">
        <v>31</v>
      </c>
      <c r="B28" s="176" t="n">
        <v>15000000</v>
      </c>
      <c r="C28" s="177" t="n">
        <v>32</v>
      </c>
      <c r="D28" s="177" t="n">
        <v>19</v>
      </c>
      <c r="E28" s="177" t="n">
        <v>3</v>
      </c>
      <c r="F28" s="177" t="s">
        <v>584</v>
      </c>
      <c r="G28" s="177" t="s">
        <v>584</v>
      </c>
      <c r="H28" s="177" t="n">
        <v>2</v>
      </c>
      <c r="I28" s="178" t="n">
        <f aca="false">IF(H28=1,Assumptions!$B$16,IF(H28=2,Assumptions!$B$17,0))</f>
        <v>0.0325</v>
      </c>
      <c r="J28" s="177" t="s">
        <v>583</v>
      </c>
      <c r="K28" s="177" t="s">
        <v>583</v>
      </c>
      <c r="L28" s="177" t="s">
        <v>588</v>
      </c>
      <c r="M28" s="182" t="s">
        <v>584</v>
      </c>
      <c r="N28" s="176" t="n">
        <v>730519</v>
      </c>
      <c r="O28" s="176" t="n">
        <v>730519</v>
      </c>
      <c r="P28" s="176" t="n">
        <v>243506</v>
      </c>
      <c r="Q28" s="176" t="n">
        <f aca="false">N28+O28+P28</f>
        <v>1704544</v>
      </c>
      <c r="R28" s="176" t="n">
        <f aca="false">Q28*0.05</f>
        <v>85227.2</v>
      </c>
      <c r="S28" s="175" t="n">
        <f aca="false">C28+D28-1</f>
        <v>50</v>
      </c>
      <c r="T28" s="179" t="n">
        <f aca="false">Assumptions!$B$15</f>
        <v>0.015</v>
      </c>
      <c r="W28" s="180" t="n">
        <f aca="false">C28+D28-1</f>
        <v>50</v>
      </c>
      <c r="X28" s="1" t="s">
        <v>584</v>
      </c>
    </row>
    <row r="29" customFormat="false" ht="15" hidden="false" customHeight="true" outlineLevel="0" collapsed="false">
      <c r="A29" s="175" t="s">
        <v>32</v>
      </c>
      <c r="B29" s="176" t="n">
        <v>15000000</v>
      </c>
      <c r="C29" s="177" t="n">
        <v>33</v>
      </c>
      <c r="D29" s="177" t="n">
        <v>19</v>
      </c>
      <c r="E29" s="177" t="n">
        <v>3</v>
      </c>
      <c r="F29" s="177" t="s">
        <v>583</v>
      </c>
      <c r="G29" s="177" t="s">
        <v>584</v>
      </c>
      <c r="H29" s="177" t="n">
        <v>0</v>
      </c>
      <c r="I29" s="178" t="n">
        <f aca="false">IF(H29=1,Assumptions!$B$16,IF(H29=2,Assumptions!$B$17,0))</f>
        <v>0</v>
      </c>
      <c r="J29" s="177" t="s">
        <v>583</v>
      </c>
      <c r="K29" s="177" t="s">
        <v>583</v>
      </c>
      <c r="L29" s="177" t="s">
        <v>588</v>
      </c>
      <c r="M29" s="182" t="s">
        <v>583</v>
      </c>
      <c r="N29" s="176" t="n">
        <v>730519</v>
      </c>
      <c r="O29" s="176" t="n">
        <v>730519</v>
      </c>
      <c r="P29" s="176" t="n">
        <v>243506</v>
      </c>
      <c r="Q29" s="176" t="n">
        <f aca="false">N29+O29+P29</f>
        <v>1704544</v>
      </c>
      <c r="R29" s="176" t="n">
        <f aca="false">Q29*0.05</f>
        <v>85227.2</v>
      </c>
      <c r="S29" s="175" t="n">
        <f aca="false">C29+D29-1</f>
        <v>51</v>
      </c>
      <c r="T29" s="179"/>
      <c r="W29" s="180" t="n">
        <f aca="false">C29+D29-1</f>
        <v>51</v>
      </c>
      <c r="X29" s="1" t="s">
        <v>584</v>
      </c>
    </row>
    <row r="30" customFormat="false" ht="15" hidden="false" customHeight="true" outlineLevel="0" collapsed="false">
      <c r="A30" s="175" t="s">
        <v>33</v>
      </c>
      <c r="B30" s="176" t="n">
        <v>15000000</v>
      </c>
      <c r="C30" s="177" t="n">
        <v>34</v>
      </c>
      <c r="D30" s="177" t="n">
        <v>19</v>
      </c>
      <c r="E30" s="177" t="n">
        <v>3</v>
      </c>
      <c r="F30" s="177" t="s">
        <v>583</v>
      </c>
      <c r="G30" s="177" t="s">
        <v>584</v>
      </c>
      <c r="H30" s="177" t="n">
        <v>0</v>
      </c>
      <c r="I30" s="178" t="n">
        <f aca="false">IF(H30=1,Assumptions!$B$16,IF(H30=2,Assumptions!$B$17,0))</f>
        <v>0</v>
      </c>
      <c r="J30" s="177" t="s">
        <v>583</v>
      </c>
      <c r="K30" s="177" t="s">
        <v>583</v>
      </c>
      <c r="L30" s="177" t="s">
        <v>588</v>
      </c>
      <c r="M30" s="182" t="s">
        <v>583</v>
      </c>
      <c r="N30" s="176" t="n">
        <v>730519</v>
      </c>
      <c r="O30" s="176" t="n">
        <v>730519</v>
      </c>
      <c r="P30" s="176" t="n">
        <v>243506</v>
      </c>
      <c r="Q30" s="176" t="n">
        <f aca="false">N30+O30+P30</f>
        <v>1704544</v>
      </c>
      <c r="R30" s="176" t="n">
        <f aca="false">Q30*0.05</f>
        <v>85227.2</v>
      </c>
      <c r="S30" s="175" t="n">
        <f aca="false">C30+D30-1</f>
        <v>52</v>
      </c>
      <c r="T30" s="179"/>
      <c r="W30" s="180" t="n">
        <f aca="false">C30+D30-1</f>
        <v>52</v>
      </c>
      <c r="X30" s="1" t="s">
        <v>584</v>
      </c>
    </row>
    <row r="31" customFormat="false" ht="15" hidden="false" customHeight="true" outlineLevel="0" collapsed="false">
      <c r="A31" s="175" t="s">
        <v>34</v>
      </c>
      <c r="B31" s="176" t="n">
        <v>18000000</v>
      </c>
      <c r="C31" s="177" t="n">
        <v>35</v>
      </c>
      <c r="D31" s="177" t="n">
        <v>19</v>
      </c>
      <c r="E31" s="177" t="n">
        <v>3</v>
      </c>
      <c r="F31" s="177" t="s">
        <v>583</v>
      </c>
      <c r="G31" s="177" t="s">
        <v>584</v>
      </c>
      <c r="H31" s="177" t="n">
        <v>0</v>
      </c>
      <c r="I31" s="178" t="n">
        <f aca="false">IF(H31=1,Assumptions!$B$16,IF(H31=2,Assumptions!$B$17,0))</f>
        <v>0</v>
      </c>
      <c r="J31" s="177" t="s">
        <v>583</v>
      </c>
      <c r="K31" s="177" t="s">
        <v>583</v>
      </c>
      <c r="L31" s="177" t="s">
        <v>588</v>
      </c>
      <c r="M31" s="182" t="s">
        <v>583</v>
      </c>
      <c r="N31" s="176" t="n">
        <v>876623</v>
      </c>
      <c r="O31" s="176" t="n">
        <v>876623</v>
      </c>
      <c r="P31" s="176" t="n">
        <v>292208</v>
      </c>
      <c r="Q31" s="176" t="n">
        <f aca="false">N31+O31+P31</f>
        <v>2045454</v>
      </c>
      <c r="R31" s="176" t="n">
        <f aca="false">Q31*0.05</f>
        <v>102272.7</v>
      </c>
      <c r="S31" s="175" t="n">
        <f aca="false">C31+D31-1</f>
        <v>53</v>
      </c>
      <c r="T31" s="179"/>
      <c r="W31" s="180" t="n">
        <f aca="false">C31+D31-1</f>
        <v>53</v>
      </c>
      <c r="X31" s="1" t="s">
        <v>584</v>
      </c>
    </row>
    <row r="32" customFormat="false" ht="15" hidden="false" customHeight="true" outlineLevel="0" collapsed="false">
      <c r="A32" s="175" t="s">
        <v>35</v>
      </c>
      <c r="B32" s="176" t="n">
        <v>15000000</v>
      </c>
      <c r="C32" s="177" t="n">
        <v>36</v>
      </c>
      <c r="D32" s="177" t="n">
        <v>19</v>
      </c>
      <c r="E32" s="177" t="n">
        <v>3</v>
      </c>
      <c r="F32" s="177" t="s">
        <v>583</v>
      </c>
      <c r="G32" s="177" t="s">
        <v>584</v>
      </c>
      <c r="H32" s="177" t="n">
        <v>0</v>
      </c>
      <c r="I32" s="178" t="n">
        <f aca="false">IF(H32=1,Assumptions!$B$16,IF(H32=2,Assumptions!$B$17,0))</f>
        <v>0</v>
      </c>
      <c r="J32" s="177" t="s">
        <v>583</v>
      </c>
      <c r="K32" s="177" t="s">
        <v>583</v>
      </c>
      <c r="L32" s="177" t="s">
        <v>588</v>
      </c>
      <c r="M32" s="182" t="s">
        <v>583</v>
      </c>
      <c r="N32" s="176" t="n">
        <v>730519</v>
      </c>
      <c r="O32" s="176" t="n">
        <v>730519</v>
      </c>
      <c r="P32" s="176" t="n">
        <v>243506</v>
      </c>
      <c r="Q32" s="176" t="n">
        <f aca="false">N32+O32+P32</f>
        <v>1704544</v>
      </c>
      <c r="R32" s="176" t="n">
        <f aca="false">Q32*0.05</f>
        <v>85227.2</v>
      </c>
      <c r="S32" s="175" t="n">
        <f aca="false">C32+D32-1</f>
        <v>54</v>
      </c>
      <c r="T32" s="179"/>
      <c r="W32" s="180" t="n">
        <f aca="false">C32+D32-1</f>
        <v>54</v>
      </c>
      <c r="X32" s="1" t="s">
        <v>584</v>
      </c>
    </row>
    <row r="33" customFormat="false" ht="15" hidden="false" customHeight="true" outlineLevel="0" collapsed="false">
      <c r="A33" s="175" t="s">
        <v>36</v>
      </c>
      <c r="B33" s="176" t="n">
        <v>15000000</v>
      </c>
      <c r="C33" s="177" t="n">
        <v>37</v>
      </c>
      <c r="D33" s="177" t="n">
        <v>19</v>
      </c>
      <c r="E33" s="177" t="n">
        <v>3</v>
      </c>
      <c r="F33" s="177" t="s">
        <v>583</v>
      </c>
      <c r="G33" s="177" t="s">
        <v>584</v>
      </c>
      <c r="H33" s="177" t="n">
        <v>0</v>
      </c>
      <c r="I33" s="178" t="n">
        <f aca="false">IF(H33=1,Assumptions!$B$16,IF(H33=2,Assumptions!$B$17,0))</f>
        <v>0</v>
      </c>
      <c r="J33" s="177" t="s">
        <v>583</v>
      </c>
      <c r="K33" s="177" t="s">
        <v>583</v>
      </c>
      <c r="L33" s="177" t="s">
        <v>588</v>
      </c>
      <c r="M33" s="182" t="s">
        <v>583</v>
      </c>
      <c r="N33" s="176" t="n">
        <v>730519</v>
      </c>
      <c r="O33" s="176" t="n">
        <v>730519</v>
      </c>
      <c r="P33" s="176" t="n">
        <v>243506</v>
      </c>
      <c r="Q33" s="176" t="n">
        <f aca="false">N33+O33+P33</f>
        <v>1704544</v>
      </c>
      <c r="R33" s="176" t="n">
        <f aca="false">Q33*0.05</f>
        <v>85227.2</v>
      </c>
      <c r="S33" s="175" t="n">
        <f aca="false">C33+D33-1</f>
        <v>55</v>
      </c>
      <c r="T33" s="179"/>
      <c r="W33" s="180" t="n">
        <f aca="false">C33+D33-1</f>
        <v>55</v>
      </c>
      <c r="X33" s="1" t="s">
        <v>584</v>
      </c>
    </row>
    <row r="34" customFormat="false" ht="15" hidden="false" customHeight="true" outlineLevel="0" collapsed="false">
      <c r="A34" s="175" t="s">
        <v>37</v>
      </c>
      <c r="B34" s="176" t="n">
        <v>18000000</v>
      </c>
      <c r="C34" s="177" t="n">
        <v>38</v>
      </c>
      <c r="D34" s="177" t="n">
        <v>19</v>
      </c>
      <c r="E34" s="177" t="n">
        <v>3</v>
      </c>
      <c r="F34" s="177" t="s">
        <v>584</v>
      </c>
      <c r="G34" s="177" t="s">
        <v>584</v>
      </c>
      <c r="H34" s="177" t="n">
        <v>2</v>
      </c>
      <c r="I34" s="178" t="n">
        <f aca="false">IF(H34=1,Assumptions!$B$16,IF(H34=2,Assumptions!$B$17,0))</f>
        <v>0.0325</v>
      </c>
      <c r="J34" s="177" t="s">
        <v>583</v>
      </c>
      <c r="K34" s="177" t="s">
        <v>583</v>
      </c>
      <c r="L34" s="177" t="s">
        <v>588</v>
      </c>
      <c r="M34" s="182" t="s">
        <v>584</v>
      </c>
      <c r="N34" s="176" t="n">
        <v>876623</v>
      </c>
      <c r="O34" s="176" t="n">
        <v>876623</v>
      </c>
      <c r="P34" s="176" t="n">
        <v>292208</v>
      </c>
      <c r="Q34" s="176" t="n">
        <f aca="false">N34+O34+P34</f>
        <v>2045454</v>
      </c>
      <c r="R34" s="176" t="n">
        <f aca="false">Q34*0.05</f>
        <v>102272.7</v>
      </c>
      <c r="S34" s="175" t="n">
        <f aca="false">C34+D34-1</f>
        <v>56</v>
      </c>
      <c r="T34" s="179" t="n">
        <f aca="false">Assumptions!$B$15</f>
        <v>0.015</v>
      </c>
      <c r="W34" s="180" t="n">
        <f aca="false">C34+D34-1</f>
        <v>56</v>
      </c>
      <c r="X34" s="1" t="s">
        <v>584</v>
      </c>
    </row>
    <row r="35" customFormat="false" ht="15" hidden="false" customHeight="true" outlineLevel="0" collapsed="false">
      <c r="A35" s="175" t="s">
        <v>38</v>
      </c>
      <c r="B35" s="176" t="n">
        <v>15000000</v>
      </c>
      <c r="C35" s="177" t="n">
        <v>39</v>
      </c>
      <c r="D35" s="177" t="n">
        <v>19</v>
      </c>
      <c r="E35" s="177" t="n">
        <v>3</v>
      </c>
      <c r="F35" s="177" t="s">
        <v>583</v>
      </c>
      <c r="G35" s="177" t="s">
        <v>584</v>
      </c>
      <c r="H35" s="177" t="n">
        <v>0</v>
      </c>
      <c r="I35" s="178" t="n">
        <f aca="false">IF(H35=1,Assumptions!$B$16,IF(H35=2,Assumptions!$B$17,0))</f>
        <v>0</v>
      </c>
      <c r="J35" s="177" t="s">
        <v>583</v>
      </c>
      <c r="K35" s="177" t="s">
        <v>583</v>
      </c>
      <c r="L35" s="177" t="s">
        <v>588</v>
      </c>
      <c r="M35" s="182" t="s">
        <v>583</v>
      </c>
      <c r="N35" s="176" t="n">
        <v>730519</v>
      </c>
      <c r="O35" s="176" t="n">
        <v>730519</v>
      </c>
      <c r="P35" s="176" t="n">
        <v>243506</v>
      </c>
      <c r="Q35" s="176" t="n">
        <f aca="false">N35+O35+P35</f>
        <v>1704544</v>
      </c>
      <c r="R35" s="176" t="n">
        <f aca="false">Q35*0.05</f>
        <v>85227.2</v>
      </c>
      <c r="S35" s="175" t="n">
        <f aca="false">C35+D35-1</f>
        <v>57</v>
      </c>
      <c r="T35" s="179"/>
      <c r="W35" s="180" t="n">
        <f aca="false">C35+D35-1</f>
        <v>57</v>
      </c>
      <c r="X35" s="1" t="s">
        <v>584</v>
      </c>
    </row>
    <row r="36" customFormat="false" ht="15" hidden="false" customHeight="true" outlineLevel="0" collapsed="false">
      <c r="A36" s="175" t="s">
        <v>39</v>
      </c>
      <c r="B36" s="176" t="n">
        <v>18000000</v>
      </c>
      <c r="C36" s="177" t="n">
        <v>43</v>
      </c>
      <c r="D36" s="177" t="n">
        <v>19</v>
      </c>
      <c r="E36" s="177" t="n">
        <v>3</v>
      </c>
      <c r="F36" s="177" t="s">
        <v>583</v>
      </c>
      <c r="G36" s="177" t="s">
        <v>584</v>
      </c>
      <c r="H36" s="177" t="n">
        <v>0</v>
      </c>
      <c r="I36" s="178" t="n">
        <f aca="false">IF(H36=1,Assumptions!$B$16,IF(H36=2,Assumptions!$B$17,0))</f>
        <v>0</v>
      </c>
      <c r="J36" s="177" t="s">
        <v>583</v>
      </c>
      <c r="K36" s="177" t="s">
        <v>583</v>
      </c>
      <c r="L36" s="177" t="s">
        <v>588</v>
      </c>
      <c r="M36" s="182" t="s">
        <v>583</v>
      </c>
      <c r="N36" s="176" t="n">
        <v>876623</v>
      </c>
      <c r="O36" s="176" t="n">
        <v>876623</v>
      </c>
      <c r="P36" s="176" t="n">
        <v>292208</v>
      </c>
      <c r="Q36" s="176" t="n">
        <f aca="false">N36+O36+P36</f>
        <v>2045454</v>
      </c>
      <c r="R36" s="176" t="n">
        <f aca="false">Q36*0.05</f>
        <v>102272.7</v>
      </c>
      <c r="S36" s="175" t="n">
        <f aca="false">C36+D36-1</f>
        <v>61</v>
      </c>
      <c r="T36" s="179"/>
      <c r="W36" s="180" t="n">
        <f aca="false">C36+D36-1</f>
        <v>61</v>
      </c>
      <c r="X36" s="1" t="s">
        <v>584</v>
      </c>
    </row>
    <row r="37" customFormat="false" ht="15" hidden="false" customHeight="true" outlineLevel="0" collapsed="false">
      <c r="A37" s="175" t="s">
        <v>40</v>
      </c>
      <c r="B37" s="176" t="n">
        <v>15000000</v>
      </c>
      <c r="C37" s="177" t="n">
        <v>44</v>
      </c>
      <c r="D37" s="177" t="n">
        <v>19</v>
      </c>
      <c r="E37" s="177" t="n">
        <v>3</v>
      </c>
      <c r="F37" s="177" t="s">
        <v>583</v>
      </c>
      <c r="G37" s="177" t="s">
        <v>584</v>
      </c>
      <c r="H37" s="177" t="n">
        <v>0</v>
      </c>
      <c r="I37" s="178" t="n">
        <f aca="false">IF(H37=1,Assumptions!$B$16,IF(H37=2,Assumptions!$B$17,0))</f>
        <v>0</v>
      </c>
      <c r="J37" s="177" t="s">
        <v>583</v>
      </c>
      <c r="K37" s="177" t="s">
        <v>583</v>
      </c>
      <c r="L37" s="177" t="s">
        <v>588</v>
      </c>
      <c r="M37" s="182" t="s">
        <v>583</v>
      </c>
      <c r="N37" s="176" t="n">
        <v>730519</v>
      </c>
      <c r="O37" s="176" t="n">
        <v>730519</v>
      </c>
      <c r="P37" s="176" t="n">
        <v>243506</v>
      </c>
      <c r="Q37" s="176" t="n">
        <f aca="false">N37+O37+P37</f>
        <v>1704544</v>
      </c>
      <c r="R37" s="176" t="n">
        <f aca="false">Q37*0.05</f>
        <v>85227.2</v>
      </c>
      <c r="S37" s="175" t="n">
        <f aca="false">C37+D37-1</f>
        <v>62</v>
      </c>
      <c r="T37" s="179"/>
      <c r="W37" s="180" t="n">
        <f aca="false">C37+D37-1</f>
        <v>62</v>
      </c>
      <c r="X37" s="1" t="s">
        <v>584</v>
      </c>
    </row>
    <row r="38" customFormat="false" ht="15" hidden="false" customHeight="true" outlineLevel="0" collapsed="false">
      <c r="A38" s="175" t="s">
        <v>41</v>
      </c>
      <c r="B38" s="176" t="n">
        <v>15000000</v>
      </c>
      <c r="C38" s="177" t="n">
        <v>48</v>
      </c>
      <c r="D38" s="177" t="n">
        <v>19</v>
      </c>
      <c r="E38" s="177" t="n">
        <v>3</v>
      </c>
      <c r="F38" s="177" t="s">
        <v>583</v>
      </c>
      <c r="G38" s="177" t="s">
        <v>584</v>
      </c>
      <c r="H38" s="177" t="n">
        <v>0</v>
      </c>
      <c r="I38" s="178" t="n">
        <f aca="false">IF(H38=1,Assumptions!$B$16,IF(H38=2,Assumptions!$B$17,0))</f>
        <v>0</v>
      </c>
      <c r="J38" s="177" t="s">
        <v>583</v>
      </c>
      <c r="K38" s="177" t="s">
        <v>583</v>
      </c>
      <c r="L38" s="177" t="s">
        <v>588</v>
      </c>
      <c r="M38" s="182" t="s">
        <v>583</v>
      </c>
      <c r="N38" s="176" t="n">
        <v>730519</v>
      </c>
      <c r="O38" s="176" t="n">
        <v>730519</v>
      </c>
      <c r="P38" s="176" t="n">
        <v>243506</v>
      </c>
      <c r="Q38" s="176" t="n">
        <f aca="false">N38+O38+P38</f>
        <v>1704544</v>
      </c>
      <c r="R38" s="176" t="n">
        <f aca="false">Q38*0.05</f>
        <v>85227.2</v>
      </c>
      <c r="S38" s="175" t="n">
        <f aca="false">C38+D38-1</f>
        <v>66</v>
      </c>
      <c r="T38" s="179"/>
      <c r="W38" s="180" t="n">
        <f aca="false">C38+D38-1</f>
        <v>66</v>
      </c>
      <c r="X38" s="1" t="s">
        <v>584</v>
      </c>
    </row>
    <row r="39" customFormat="false" ht="15" hidden="false" customHeight="true" outlineLevel="0" collapsed="false">
      <c r="A39" s="175" t="s">
        <v>42</v>
      </c>
      <c r="B39" s="176" t="n">
        <v>18000000</v>
      </c>
      <c r="C39" s="177" t="n">
        <v>49</v>
      </c>
      <c r="D39" s="177" t="n">
        <v>19</v>
      </c>
      <c r="E39" s="177" t="n">
        <v>3</v>
      </c>
      <c r="F39" s="177" t="s">
        <v>583</v>
      </c>
      <c r="G39" s="177" t="s">
        <v>584</v>
      </c>
      <c r="H39" s="177" t="n">
        <v>0</v>
      </c>
      <c r="I39" s="178" t="n">
        <f aca="false">IF(H39=1,Assumptions!$B$16,IF(H39=2,Assumptions!$B$17,0))</f>
        <v>0</v>
      </c>
      <c r="J39" s="177" t="s">
        <v>583</v>
      </c>
      <c r="K39" s="177" t="s">
        <v>583</v>
      </c>
      <c r="L39" s="177" t="s">
        <v>588</v>
      </c>
      <c r="M39" s="182" t="s">
        <v>583</v>
      </c>
      <c r="N39" s="176" t="n">
        <v>876623</v>
      </c>
      <c r="O39" s="176" t="n">
        <v>876623</v>
      </c>
      <c r="P39" s="176" t="n">
        <v>292208</v>
      </c>
      <c r="Q39" s="176" t="n">
        <f aca="false">N39+O39+P39</f>
        <v>2045454</v>
      </c>
      <c r="R39" s="176" t="n">
        <f aca="false">Q39*0.05</f>
        <v>102272.7</v>
      </c>
      <c r="S39" s="175" t="n">
        <f aca="false">C39+D39-1</f>
        <v>67</v>
      </c>
      <c r="T39" s="179"/>
      <c r="W39" s="180" t="n">
        <f aca="false">C39+D39-1</f>
        <v>67</v>
      </c>
      <c r="X39" s="1" t="s">
        <v>584</v>
      </c>
    </row>
    <row r="40" customFormat="false" ht="15" hidden="false" customHeight="true" outlineLevel="0" collapsed="false">
      <c r="A40" s="175" t="s">
        <v>43</v>
      </c>
      <c r="B40" s="176" t="n">
        <v>15000000</v>
      </c>
      <c r="C40" s="177" t="n">
        <v>50</v>
      </c>
      <c r="D40" s="177" t="n">
        <v>19</v>
      </c>
      <c r="E40" s="177" t="n">
        <v>3</v>
      </c>
      <c r="F40" s="177" t="s">
        <v>584</v>
      </c>
      <c r="G40" s="177" t="s">
        <v>584</v>
      </c>
      <c r="H40" s="177" t="n">
        <v>2</v>
      </c>
      <c r="I40" s="178" t="n">
        <f aca="false">IF(H40=1,Assumptions!$B$16,IF(H40=2,Assumptions!$B$17,0))</f>
        <v>0.0325</v>
      </c>
      <c r="J40" s="177" t="s">
        <v>583</v>
      </c>
      <c r="K40" s="177" t="s">
        <v>583</v>
      </c>
      <c r="L40" s="177" t="s">
        <v>588</v>
      </c>
      <c r="M40" s="182" t="s">
        <v>584</v>
      </c>
      <c r="N40" s="176" t="n">
        <v>730519</v>
      </c>
      <c r="O40" s="176" t="n">
        <v>730519</v>
      </c>
      <c r="P40" s="176" t="n">
        <v>243506</v>
      </c>
      <c r="Q40" s="176" t="n">
        <f aca="false">N40+O40+P40</f>
        <v>1704544</v>
      </c>
      <c r="R40" s="176" t="n">
        <f aca="false">Q40*0.05</f>
        <v>85227.2</v>
      </c>
      <c r="S40" s="175" t="n">
        <f aca="false">C40+D40-1</f>
        <v>68</v>
      </c>
      <c r="T40" s="179" t="n">
        <f aca="false">Assumptions!$B$15</f>
        <v>0.015</v>
      </c>
      <c r="W40" s="180" t="n">
        <f aca="false">C40+D40-1</f>
        <v>68</v>
      </c>
      <c r="X40" s="1" t="s">
        <v>584</v>
      </c>
    </row>
    <row r="41" customFormat="false" ht="15" hidden="false" customHeight="true" outlineLevel="0" collapsed="false">
      <c r="A41" s="175" t="s">
        <v>44</v>
      </c>
      <c r="B41" s="176" t="n">
        <v>15000000</v>
      </c>
      <c r="C41" s="177" t="n">
        <v>51</v>
      </c>
      <c r="D41" s="177" t="n">
        <v>19</v>
      </c>
      <c r="E41" s="177" t="n">
        <v>3</v>
      </c>
      <c r="F41" s="177" t="s">
        <v>583</v>
      </c>
      <c r="G41" s="177" t="s">
        <v>584</v>
      </c>
      <c r="H41" s="177" t="n">
        <v>0</v>
      </c>
      <c r="I41" s="178" t="n">
        <f aca="false">IF(H41=1,Assumptions!$B$16,IF(H41=2,Assumptions!$B$17,0))</f>
        <v>0</v>
      </c>
      <c r="J41" s="177" t="s">
        <v>583</v>
      </c>
      <c r="K41" s="177" t="s">
        <v>583</v>
      </c>
      <c r="L41" s="177" t="s">
        <v>588</v>
      </c>
      <c r="M41" s="182" t="s">
        <v>583</v>
      </c>
      <c r="N41" s="176" t="n">
        <v>730519</v>
      </c>
      <c r="O41" s="176" t="n">
        <v>730519</v>
      </c>
      <c r="P41" s="176" t="n">
        <v>243506</v>
      </c>
      <c r="Q41" s="176" t="n">
        <f aca="false">N41+O41+P41</f>
        <v>1704544</v>
      </c>
      <c r="R41" s="176" t="n">
        <f aca="false">Q41*0.05</f>
        <v>85227.2</v>
      </c>
      <c r="S41" s="175" t="n">
        <f aca="false">C41+D41-1</f>
        <v>69</v>
      </c>
      <c r="T41" s="179"/>
      <c r="W41" s="180" t="n">
        <f aca="false">C41+D41-1</f>
        <v>69</v>
      </c>
      <c r="X41" s="1" t="s">
        <v>584</v>
      </c>
    </row>
    <row r="42" customFormat="false" ht="15" hidden="false" customHeight="true" outlineLevel="0" collapsed="false">
      <c r="A42" s="175" t="s">
        <v>45</v>
      </c>
      <c r="B42" s="176" t="n">
        <v>18000000</v>
      </c>
      <c r="C42" s="177" t="n">
        <v>52</v>
      </c>
      <c r="D42" s="177" t="n">
        <v>19</v>
      </c>
      <c r="E42" s="177" t="n">
        <v>3</v>
      </c>
      <c r="F42" s="177" t="s">
        <v>583</v>
      </c>
      <c r="G42" s="177" t="s">
        <v>584</v>
      </c>
      <c r="H42" s="177" t="n">
        <v>0</v>
      </c>
      <c r="I42" s="178" t="n">
        <f aca="false">IF(H42=1,Assumptions!$B$16,IF(H42=2,Assumptions!$B$17,0))</f>
        <v>0</v>
      </c>
      <c r="J42" s="177" t="s">
        <v>583</v>
      </c>
      <c r="K42" s="177" t="s">
        <v>583</v>
      </c>
      <c r="L42" s="177" t="s">
        <v>588</v>
      </c>
      <c r="M42" s="182" t="s">
        <v>583</v>
      </c>
      <c r="N42" s="176" t="n">
        <v>876623</v>
      </c>
      <c r="O42" s="176" t="n">
        <v>876623</v>
      </c>
      <c r="P42" s="176" t="n">
        <v>292208</v>
      </c>
      <c r="Q42" s="176" t="n">
        <f aca="false">N42+O42+P42</f>
        <v>2045454</v>
      </c>
      <c r="R42" s="176" t="n">
        <f aca="false">Q42*0.05</f>
        <v>102272.7</v>
      </c>
      <c r="S42" s="175" t="n">
        <f aca="false">C42+D42-1</f>
        <v>70</v>
      </c>
      <c r="T42" s="179"/>
      <c r="W42" s="180" t="n">
        <f aca="false">C42+D42-1</f>
        <v>70</v>
      </c>
      <c r="X42" s="1" t="s">
        <v>584</v>
      </c>
    </row>
    <row r="43" customFormat="false" ht="15" hidden="false" customHeight="true" outlineLevel="0" collapsed="false">
      <c r="A43" s="175" t="s">
        <v>46</v>
      </c>
      <c r="B43" s="176" t="n">
        <v>15000000</v>
      </c>
      <c r="C43" s="177" t="n">
        <v>53</v>
      </c>
      <c r="D43" s="177" t="n">
        <v>19</v>
      </c>
      <c r="E43" s="177" t="n">
        <v>3</v>
      </c>
      <c r="F43" s="177" t="s">
        <v>583</v>
      </c>
      <c r="G43" s="177" t="s">
        <v>584</v>
      </c>
      <c r="H43" s="177" t="n">
        <v>0</v>
      </c>
      <c r="I43" s="178" t="n">
        <f aca="false">IF(H43=1,Assumptions!$B$16,IF(H43=2,Assumptions!$B$17,0))</f>
        <v>0</v>
      </c>
      <c r="J43" s="177" t="s">
        <v>583</v>
      </c>
      <c r="K43" s="177" t="s">
        <v>583</v>
      </c>
      <c r="L43" s="177" t="s">
        <v>588</v>
      </c>
      <c r="M43" s="182" t="s">
        <v>583</v>
      </c>
      <c r="N43" s="176" t="n">
        <v>730519</v>
      </c>
      <c r="O43" s="176" t="n">
        <v>730519</v>
      </c>
      <c r="P43" s="176" t="n">
        <v>243506</v>
      </c>
      <c r="Q43" s="176" t="n">
        <f aca="false">N43+O43+P43</f>
        <v>1704544</v>
      </c>
      <c r="R43" s="176" t="n">
        <f aca="false">Q43*0.05</f>
        <v>85227.2</v>
      </c>
      <c r="S43" s="175" t="n">
        <f aca="false">C43+D43-1</f>
        <v>71</v>
      </c>
      <c r="T43" s="179"/>
      <c r="W43" s="180" t="n">
        <f aca="false">C43+D43-1</f>
        <v>71</v>
      </c>
      <c r="X43" s="1" t="s">
        <v>584</v>
      </c>
    </row>
    <row r="44" customFormat="false" ht="15" hidden="false" customHeight="true" outlineLevel="0" collapsed="false">
      <c r="A44" s="175" t="s">
        <v>47</v>
      </c>
      <c r="B44" s="176" t="n">
        <v>15000000</v>
      </c>
      <c r="C44" s="177" t="n">
        <v>54</v>
      </c>
      <c r="D44" s="177" t="n">
        <v>19</v>
      </c>
      <c r="E44" s="177" t="n">
        <v>3</v>
      </c>
      <c r="F44" s="177" t="s">
        <v>583</v>
      </c>
      <c r="G44" s="177" t="s">
        <v>584</v>
      </c>
      <c r="H44" s="177" t="n">
        <v>0</v>
      </c>
      <c r="I44" s="178" t="n">
        <f aca="false">IF(H44=1,Assumptions!$B$16,IF(H44=2,Assumptions!$B$17,0))</f>
        <v>0</v>
      </c>
      <c r="J44" s="177" t="s">
        <v>583</v>
      </c>
      <c r="K44" s="177" t="s">
        <v>583</v>
      </c>
      <c r="L44" s="177" t="s">
        <v>588</v>
      </c>
      <c r="M44" s="182" t="s">
        <v>583</v>
      </c>
      <c r="N44" s="176" t="n">
        <v>730519</v>
      </c>
      <c r="O44" s="176" t="n">
        <v>730519</v>
      </c>
      <c r="P44" s="176" t="n">
        <v>243506</v>
      </c>
      <c r="Q44" s="176" t="n">
        <f aca="false">N44+O44+P44</f>
        <v>1704544</v>
      </c>
      <c r="R44" s="176" t="n">
        <f aca="false">Q44*0.05</f>
        <v>85227.2</v>
      </c>
      <c r="S44" s="175" t="n">
        <f aca="false">C44+D44-1</f>
        <v>72</v>
      </c>
      <c r="T44" s="179"/>
      <c r="W44" s="180" t="n">
        <f aca="false">C44+D44-1</f>
        <v>72</v>
      </c>
      <c r="X44" s="1" t="s">
        <v>584</v>
      </c>
    </row>
    <row r="45" customFormat="false" ht="15" hidden="false" customHeight="true" outlineLevel="0" collapsed="false">
      <c r="A45" s="175" t="s">
        <v>48</v>
      </c>
      <c r="B45" s="176" t="n">
        <v>18000000</v>
      </c>
      <c r="C45" s="177" t="n">
        <v>55</v>
      </c>
      <c r="D45" s="177" t="n">
        <v>19</v>
      </c>
      <c r="E45" s="177" t="n">
        <v>3</v>
      </c>
      <c r="F45" s="177" t="s">
        <v>583</v>
      </c>
      <c r="G45" s="177" t="s">
        <v>584</v>
      </c>
      <c r="H45" s="177" t="n">
        <v>0</v>
      </c>
      <c r="I45" s="178" t="n">
        <f aca="false">IF(H45=1,Assumptions!$B$16,IF(H45=2,Assumptions!$B$17,0))</f>
        <v>0</v>
      </c>
      <c r="J45" s="177" t="s">
        <v>583</v>
      </c>
      <c r="K45" s="177" t="s">
        <v>583</v>
      </c>
      <c r="L45" s="177" t="s">
        <v>588</v>
      </c>
      <c r="M45" s="182" t="s">
        <v>583</v>
      </c>
      <c r="N45" s="176" t="n">
        <v>876623</v>
      </c>
      <c r="O45" s="176" t="n">
        <v>876623</v>
      </c>
      <c r="P45" s="176" t="n">
        <v>292208</v>
      </c>
      <c r="Q45" s="176" t="n">
        <f aca="false">N45+O45+P45</f>
        <v>2045454</v>
      </c>
      <c r="R45" s="176" t="n">
        <f aca="false">Q45*0.05</f>
        <v>102272.7</v>
      </c>
      <c r="S45" s="175" t="n">
        <f aca="false">C45+D45-1</f>
        <v>73</v>
      </c>
      <c r="T45" s="179"/>
      <c r="W45" s="180" t="n">
        <f aca="false">C45+D45-1</f>
        <v>73</v>
      </c>
      <c r="X45" s="1" t="s">
        <v>584</v>
      </c>
    </row>
    <row r="46" customFormat="false" ht="15" hidden="false" customHeight="true" outlineLevel="0" collapsed="false">
      <c r="A46" s="175" t="s">
        <v>49</v>
      </c>
      <c r="B46" s="176" t="n">
        <v>15000000</v>
      </c>
      <c r="C46" s="177" t="n">
        <v>56</v>
      </c>
      <c r="D46" s="177" t="n">
        <v>19</v>
      </c>
      <c r="E46" s="177" t="n">
        <v>3</v>
      </c>
      <c r="F46" s="177" t="s">
        <v>584</v>
      </c>
      <c r="G46" s="177" t="s">
        <v>584</v>
      </c>
      <c r="H46" s="177" t="n">
        <v>2</v>
      </c>
      <c r="I46" s="178" t="n">
        <f aca="false">IF(H46=1,Assumptions!$B$16,IF(H46=2,Assumptions!$B$17,0))</f>
        <v>0.0325</v>
      </c>
      <c r="J46" s="177" t="s">
        <v>583</v>
      </c>
      <c r="K46" s="177" t="s">
        <v>583</v>
      </c>
      <c r="L46" s="177" t="s">
        <v>588</v>
      </c>
      <c r="M46" s="182" t="s">
        <v>584</v>
      </c>
      <c r="N46" s="176" t="n">
        <v>730519</v>
      </c>
      <c r="O46" s="176" t="n">
        <v>730519</v>
      </c>
      <c r="P46" s="176" t="n">
        <v>243506</v>
      </c>
      <c r="Q46" s="176" t="n">
        <f aca="false">N46+O46+P46</f>
        <v>1704544</v>
      </c>
      <c r="R46" s="176" t="n">
        <f aca="false">Q46*0.05</f>
        <v>85227.2</v>
      </c>
      <c r="S46" s="175" t="n">
        <f aca="false">C46+D46-1</f>
        <v>74</v>
      </c>
      <c r="T46" s="179" t="n">
        <f aca="false">Assumptions!$B$15</f>
        <v>0.015</v>
      </c>
      <c r="X46" s="1"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591</v>
      </c>
    </row>
    <row r="2" customFormat="false" ht="15" hidden="false" customHeight="true" outlineLevel="0" collapsed="false">
      <c r="A2" s="183" t="s">
        <v>592</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561</v>
      </c>
      <c r="B5" s="110" t="s">
        <v>562</v>
      </c>
      <c r="C5" s="110" t="s">
        <v>593</v>
      </c>
      <c r="D5" s="110" t="s">
        <v>594</v>
      </c>
      <c r="E5" s="110" t="s">
        <v>595</v>
      </c>
      <c r="F5" s="110" t="s">
        <v>596</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597</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6368332.43</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635529.47</v>
      </c>
      <c r="M7" s="192" t="n">
        <f aca="false">IF(Model!K13=0,"",Model!K13)</f>
        <v>1090625.42</v>
      </c>
      <c r="N7" s="192" t="n">
        <f aca="false">IF(Model!L13=0,"",Model!L13)</f>
        <v>505960.25</v>
      </c>
      <c r="O7" s="192" t="n">
        <f aca="false">IF(Model!M13=0,"",Model!M13)</f>
        <v>56217.81</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18038662.42</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1194967.04</v>
      </c>
      <c r="M8" s="192" t="n">
        <f aca="false">IF(Model!K14=0,"",Model!K14)</f>
        <v>815077.04</v>
      </c>
      <c r="N8" s="192" t="n">
        <f aca="false">IF(Model!L14=0,"",Model!L14)</f>
        <v>741216.48</v>
      </c>
      <c r="O8" s="192" t="n">
        <f aca="false">IF(Model!M14=0,"",Model!M14)</f>
        <v>749168.4</v>
      </c>
      <c r="P8" s="192" t="n">
        <f aca="false">IF(Model!N14=0,"",Model!N14)</f>
        <v>971939.79</v>
      </c>
      <c r="Q8" s="192" t="n">
        <f aca="false">IF(Model!O14=0,"",Model!O14)</f>
        <v>809808.44</v>
      </c>
      <c r="R8" s="192" t="n">
        <f aca="false">IF(Model!P14=0,"",Model!P14)</f>
        <v>1050106.48</v>
      </c>
      <c r="S8" s="192" t="n">
        <f aca="false">IF(Model!Q14=0,"",Model!Q14)</f>
        <v>858162.3</v>
      </c>
      <c r="T8" s="192" t="n">
        <f aca="false">IF(Model!R14=0,"",Model!R14)</f>
        <v>677761.69</v>
      </c>
      <c r="U8" s="192" t="n">
        <f aca="false">IF(Model!S14=0,"",Model!S14)</f>
        <v>619657.29</v>
      </c>
      <c r="V8" s="192" t="n">
        <f aca="false">IF(Model!T14=0,"",Model!T14)</f>
        <v>833901.29</v>
      </c>
      <c r="W8" s="192" t="n">
        <f aca="false">IF(Model!U14=0,"",Model!U14)</f>
        <v>832480.71</v>
      </c>
      <c r="X8" s="192" t="n">
        <f aca="false">IF(Model!V14=0,"",Model!V14)</f>
        <v>283737.27</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10585007.88</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1261242.08</v>
      </c>
      <c r="M9" s="192" t="n">
        <f aca="false">IF(Model!K15=0,"",Model!K15)</f>
        <v>461886.09</v>
      </c>
      <c r="N9" s="192" t="n">
        <f aca="false">IF(Model!L15=0,"",Model!L15)</f>
        <v>488171.48</v>
      </c>
      <c r="O9" s="192" t="n">
        <f aca="false">IF(Model!M15=0,"",Model!M15)</f>
        <v>650549</v>
      </c>
      <c r="P9" s="192" t="n">
        <f aca="false">IF(Model!N15=0,"",Model!N15)</f>
        <v>585157.97</v>
      </c>
      <c r="Q9" s="192" t="n">
        <f aca="false">IF(Model!O15=0,"",Model!O15)</f>
        <v>497554.02</v>
      </c>
      <c r="R9" s="192" t="n">
        <f aca="false">IF(Model!P15=0,"",Model!P15)</f>
        <v>597185.64</v>
      </c>
      <c r="S9" s="192" t="n">
        <f aca="false">IF(Model!Q15=0,"",Model!Q15)</f>
        <v>572361.81</v>
      </c>
      <c r="T9" s="192" t="n">
        <f aca="false">IF(Model!R15=0,"",Model!R15)</f>
        <v>509265.9</v>
      </c>
      <c r="U9" s="192" t="n">
        <f aca="false">IF(Model!S15=0,"",Model!S15)</f>
        <v>344727.54</v>
      </c>
      <c r="V9" s="192" t="n">
        <f aca="false">IF(Model!T15=0,"",Model!T15)</f>
        <v>149345.54</v>
      </c>
      <c r="W9" s="192" t="n">
        <f aca="false">IF(Model!U15=0,"",Model!U15)</f>
        <v>141640.49</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12866882.78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1527496.71</v>
      </c>
      <c r="M10" s="192" t="n">
        <f aca="false">IF(Model!K16=0,"",Model!K16)</f>
        <v>542154.36</v>
      </c>
      <c r="N10" s="192" t="n">
        <f aca="false">IF(Model!L16=0,"",Model!L16)</f>
        <v>509835.57</v>
      </c>
      <c r="O10" s="192" t="n">
        <f aca="false">IF(Model!M16=0,"",Model!M16)</f>
        <v>439331.57</v>
      </c>
      <c r="P10" s="192" t="n">
        <f aca="false">IF(Model!N16=0,"",Model!N16)</f>
        <v>515849.83</v>
      </c>
      <c r="Q10" s="192" t="n">
        <f aca="false">IF(Model!O16=0,"",Model!O16)</f>
        <v>492274.7</v>
      </c>
      <c r="R10" s="192" t="n">
        <f aca="false">IF(Model!P16=0,"",Model!P16)</f>
        <v>347513.21</v>
      </c>
      <c r="S10" s="192" t="n">
        <f aca="false">IF(Model!Q16=0,"",Model!Q16)</f>
        <v>326394.52</v>
      </c>
      <c r="T10" s="192" t="n">
        <f aca="false">IF(Model!R16=0,"",Model!R16)</f>
        <v>251483.96</v>
      </c>
      <c r="U10" s="192" t="n">
        <f aca="false">IF(Model!S16=0,"",Model!S16)</f>
        <v>612215.42</v>
      </c>
      <c r="V10" s="192" t="n">
        <f aca="false">IF(Model!T16=0,"",Model!T16)</f>
        <v>871620.13</v>
      </c>
      <c r="W10" s="192" t="n">
        <f aca="false">IF(Model!U16=0,"",Model!U16)</f>
        <v>588727.53</v>
      </c>
      <c r="X10" s="192" t="n">
        <f aca="false">IF(Model!V16=0,"",Model!V16)</f>
        <v>374851.55</v>
      </c>
      <c r="Y10" s="192" t="n">
        <f aca="false">IF(Model!W16=0,"",Model!W16)</f>
        <v>145501.97</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3256382.91</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228950.43</v>
      </c>
      <c r="M11" s="192" t="n">
        <f aca="false">IF(Model!K17=0,"",Model!K17)</f>
        <v>371003.8</v>
      </c>
      <c r="N11" s="192" t="n">
        <f aca="false">IF(Model!L17=0,"",Model!L17)</f>
        <v>217495.84</v>
      </c>
      <c r="O11" s="192" t="n">
        <f aca="false">IF(Model!M17=0,"",Model!M17)</f>
        <v>185467.9</v>
      </c>
      <c r="P11" s="192" t="n">
        <f aca="false">IF(Model!N17=0,"",Model!N17)</f>
        <v>280874.08</v>
      </c>
      <c r="Q11" s="192" t="n">
        <f aca="false">IF(Model!O17=0,"",Model!O17)</f>
        <v>251083.56</v>
      </c>
      <c r="R11" s="192" t="n">
        <f aca="false">IF(Model!P17=0,"",Model!P17)</f>
        <v>95915.43</v>
      </c>
      <c r="S11" s="192" t="n">
        <f aca="false">IF(Model!Q17=0,"",Model!Q17)</f>
        <v>80111.01</v>
      </c>
      <c r="T11" s="192" t="n">
        <f aca="false">IF(Model!R17=0,"",Model!R17)</f>
        <v>54755.77</v>
      </c>
      <c r="U11" s="192" t="n">
        <f aca="false">IF(Model!S17=0,"",Model!S17)</f>
        <v>16794.36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37728330</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425637.22</v>
      </c>
      <c r="M12" s="192" t="n">
        <f aca="false">IF(Model!K18=0,"",Model!K18)</f>
        <v>1053412.24</v>
      </c>
      <c r="N12" s="192" t="n">
        <f aca="false">IF(Model!L18=0,"",Model!L18)</f>
        <v>684770.71</v>
      </c>
      <c r="O12" s="192" t="n">
        <f aca="false">IF(Model!M18=0,"",Model!M18)</f>
        <v>513200.1</v>
      </c>
      <c r="P12" s="192" t="n">
        <f aca="false">IF(Model!N18=0,"",Model!N18)</f>
        <v>653798.18</v>
      </c>
      <c r="Q12" s="192" t="n">
        <f aca="false">IF(Model!O18=0,"",Model!O18)</f>
        <v>528908.03</v>
      </c>
      <c r="R12" s="192" t="n">
        <f aca="false">IF(Model!P18=0,"",Model!P18)</f>
        <v>638138.2</v>
      </c>
      <c r="S12" s="192" t="n">
        <f aca="false">IF(Model!Q18=0,"",Model!Q18)</f>
        <v>538967.17</v>
      </c>
      <c r="T12" s="192" t="n">
        <f aca="false">IF(Model!R18=0,"",Model!R18)</f>
        <v>662393.2</v>
      </c>
      <c r="U12" s="192" t="n">
        <f aca="false">IF(Model!S18=0,"",Model!S18)</f>
        <v>622572.88</v>
      </c>
      <c r="V12" s="192" t="n">
        <f aca="false">IF(Model!T18=0,"",Model!T18)</f>
        <v>1116701.29</v>
      </c>
      <c r="W12" s="192" t="n">
        <f aca="false">IF(Model!U18=0,"",Model!U18)</f>
        <v>713626.26</v>
      </c>
      <c r="X12" s="192" t="n">
        <f aca="false">IF(Model!V18=0,"",Model!V18)</f>
        <v>2128085.39</v>
      </c>
      <c r="Y12" s="192" t="n">
        <f aca="false">IF(Model!W18=0,"",Model!W18)</f>
        <v>1344331.61</v>
      </c>
      <c r="Z12" s="192" t="n">
        <f aca="false">IF(Model!X18=0,"",Model!X18)</f>
        <v>2761329.57</v>
      </c>
      <c r="AA12" s="192" t="n">
        <f aca="false">IF(Model!Y18=0,"",Model!Y18)</f>
        <v>1589952.85</v>
      </c>
      <c r="AB12" s="192" t="n">
        <f aca="false">IF(Model!Z18=0,"",Model!Z18)</f>
        <v>2504877.59</v>
      </c>
      <c r="AC12" s="192" t="n">
        <f aca="false">IF(Model!AA18=0,"",Model!AA18)</f>
        <v>2091655.82</v>
      </c>
      <c r="AD12" s="192" t="n">
        <f aca="false">IF(Model!AB18=0,"",Model!AB18)</f>
        <v>1425853.63</v>
      </c>
      <c r="AE12" s="192" t="n">
        <f aca="false">IF(Model!AC18=0,"",Model!AC18)</f>
        <v>902356.71</v>
      </c>
      <c r="AF12" s="192" t="n">
        <f aca="false">IF(Model!AD18=0,"",Model!AD18)</f>
        <v>1068546.51</v>
      </c>
      <c r="AG12" s="192" t="n">
        <f aca="false">IF(Model!AE18=0,"",Model!AE18)</f>
        <v>1002881.47</v>
      </c>
      <c r="AH12" s="192" t="n">
        <f aca="false">IF(Model!AF18=0,"",Model!AF18)</f>
        <v>1240161.39</v>
      </c>
      <c r="AI12" s="192" t="n">
        <f aca="false">IF(Model!AG18=0,"",Model!AG18)</f>
        <v>2153684.82</v>
      </c>
      <c r="AJ12" s="192" t="n">
        <f aca="false">IF(Model!AH18=0,"",Model!AH18)</f>
        <v>1998765.3</v>
      </c>
      <c r="AK12" s="192" t="n">
        <f aca="false">IF(Model!AI18=0,"",Model!AI18)</f>
        <v>1954108.47</v>
      </c>
      <c r="AL12" s="192" t="n">
        <f aca="false">IF(Model!AJ18=0,"",Model!AJ18)</f>
        <v>1066130.08</v>
      </c>
      <c r="AM12" s="192" t="n">
        <f aca="false">IF(Model!AK18=0,"",Model!AK18)</f>
        <v>885036.77</v>
      </c>
      <c r="AN12" s="192" t="n">
        <f aca="false">IF(Model!AL18=0,"",Model!AL18)</f>
        <v>988661.87</v>
      </c>
      <c r="AO12" s="192" t="n">
        <f aca="false">IF(Model!AM18=0,"",Model!AM18)</f>
        <v>1074702.75</v>
      </c>
      <c r="AP12" s="192" t="n">
        <f aca="false">IF(Model!AN18=0,"",Model!AN18)</f>
        <v>289139.49</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11429452.96</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163426.21</v>
      </c>
      <c r="M13" s="192" t="n">
        <f aca="false">IF(Model!K19=0,"",Model!K19)</f>
        <v>344698.93</v>
      </c>
      <c r="N13" s="192" t="n">
        <f aca="false">IF(Model!L19=0,"",Model!L19)</f>
        <v>431333.03</v>
      </c>
      <c r="O13" s="192" t="n">
        <f aca="false">IF(Model!M19=0,"",Model!M19)</f>
        <v>520661.15</v>
      </c>
      <c r="P13" s="192" t="n">
        <f aca="false">IF(Model!N19=0,"",Model!N19)</f>
        <v>608390.91</v>
      </c>
      <c r="Q13" s="192" t="n">
        <f aca="false">IF(Model!O19=0,"",Model!O19)</f>
        <v>689649.86</v>
      </c>
      <c r="R13" s="192" t="n">
        <f aca="false">IF(Model!P19=0,"",Model!P19)</f>
        <v>759449.54</v>
      </c>
      <c r="S13" s="192" t="n">
        <f aca="false">IF(Model!Q19=0,"",Model!Q19)</f>
        <v>813162.42</v>
      </c>
      <c r="T13" s="192" t="n">
        <f aca="false">IF(Model!R19=0,"",Model!R19)</f>
        <v>847037.51</v>
      </c>
      <c r="U13" s="192" t="n">
        <f aca="false">IF(Model!S19=0,"",Model!S19)</f>
        <v>858612.78</v>
      </c>
      <c r="V13" s="192" t="n">
        <f aca="false">IF(Model!T19=0,"",Model!T19)</f>
        <v>847037.51</v>
      </c>
      <c r="W13" s="192" t="n">
        <f aca="false">IF(Model!U19=0,"",Model!U19)</f>
        <v>813162.42</v>
      </c>
      <c r="X13" s="192" t="n">
        <f aca="false">IF(Model!V19=0,"",Model!V19)</f>
        <v>759449.54</v>
      </c>
      <c r="Y13" s="192" t="n">
        <f aca="false">IF(Model!W19=0,"",Model!W19)</f>
        <v>689649.86</v>
      </c>
      <c r="Z13" s="192" t="n">
        <f aca="false">IF(Model!X19=0,"",Model!X19)</f>
        <v>608390.91</v>
      </c>
      <c r="AA13" s="192" t="n">
        <f aca="false">IF(Model!Y19=0,"",Model!Y19)</f>
        <v>520661.15</v>
      </c>
      <c r="AB13" s="192" t="n">
        <f aca="false">IF(Model!Z19=0,"",Model!Z19)</f>
        <v>431333.03</v>
      </c>
      <c r="AC13" s="192" t="n">
        <f aca="false">IF(Model!AA19=0,"",Model!AA19)</f>
        <v>344698.93</v>
      </c>
      <c r="AD13" s="192" t="n">
        <f aca="false">IF(Model!AB19=0,"",Model!AB19)</f>
        <v>186621.02</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12641645.33</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193610.23</v>
      </c>
      <c r="M14" s="192" t="n">
        <f aca="false">IF(Model!K20=0,"",Model!K20)</f>
        <v>482353.29</v>
      </c>
      <c r="N14" s="192" t="n">
        <f aca="false">IF(Model!L20=0,"",Model!L20)</f>
        <v>582247.59</v>
      </c>
      <c r="O14" s="192" t="n">
        <f aca="false">IF(Model!M20=0,"",Model!M20)</f>
        <v>680354.47</v>
      </c>
      <c r="P14" s="192" t="n">
        <f aca="false">IF(Model!N20=0,"",Model!N20)</f>
        <v>771225.14</v>
      </c>
      <c r="Q14" s="192" t="n">
        <f aca="false">IF(Model!O20=0,"",Model!O20)</f>
        <v>849281.08</v>
      </c>
      <c r="R14" s="192" t="n">
        <f aca="false">IF(Model!P20=0,"",Model!P20)</f>
        <v>909347.4</v>
      </c>
      <c r="S14" s="192" t="n">
        <f aca="false">IF(Model!Q20=0,"",Model!Q20)</f>
        <v>947229.39</v>
      </c>
      <c r="T14" s="192" t="n">
        <f aca="false">IF(Model!R20=0,"",Model!R20)</f>
        <v>960173.85</v>
      </c>
      <c r="U14" s="192" t="n">
        <f aca="false">IF(Model!S20=0,"",Model!S20)</f>
        <v>947229.39</v>
      </c>
      <c r="V14" s="192" t="n">
        <f aca="false">IF(Model!T20=0,"",Model!T20)</f>
        <v>909347.4</v>
      </c>
      <c r="W14" s="192" t="n">
        <f aca="false">IF(Model!U20=0,"",Model!U20)</f>
        <v>849281.08</v>
      </c>
      <c r="X14" s="192" t="n">
        <f aca="false">IF(Model!V20=0,"",Model!V20)</f>
        <v>771225.14</v>
      </c>
      <c r="Y14" s="192" t="n">
        <f aca="false">IF(Model!W20=0,"",Model!W20)</f>
        <v>680354.47</v>
      </c>
      <c r="Z14" s="192" t="n">
        <f aca="false">IF(Model!X20=0,"",Model!X20)</f>
        <v>582247.59</v>
      </c>
      <c r="AA14" s="192" t="n">
        <f aca="false">IF(Model!Y20=0,"",Model!Y20)</f>
        <v>482353.29</v>
      </c>
      <c r="AB14" s="192" t="n">
        <f aca="false">IF(Model!Z20=0,"",Model!Z20)</f>
        <v>385471.66</v>
      </c>
      <c r="AC14" s="192" t="n">
        <f aca="false">IF(Model!AA20=0,"",Model!AA20)</f>
        <v>208695.5</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598</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5630859.39</v>
      </c>
      <c r="M21" s="193" t="n">
        <f aca="false">SUM(M7:M20)+SUM(M24:M27)</f>
        <v>5161211.17</v>
      </c>
      <c r="N21" s="193" t="n">
        <f aca="false">SUM(N7:N20)+SUM(N24:N27)</f>
        <v>4161030.95</v>
      </c>
      <c r="O21" s="193" t="n">
        <f aca="false">SUM(O7:O20)+SUM(O24:O27)</f>
        <v>4429456.59404322</v>
      </c>
      <c r="P21" s="193" t="n">
        <f aca="false">SUM(P7:P20)+SUM(P24:P27)</f>
        <v>5340081.2878879</v>
      </c>
      <c r="Q21" s="193" t="n">
        <f aca="false">SUM(Q7:Q20)+SUM(Q24:Q27)</f>
        <v>5492393.51137166</v>
      </c>
      <c r="R21" s="193" t="n">
        <f aca="false">SUM(R7:R20)+SUM(R24:R27)</f>
        <v>6066376.80880717</v>
      </c>
      <c r="S21" s="193" t="n">
        <f aca="false">SUM(S7:S20)+SUM(S24:S27)</f>
        <v>6516706.6099063</v>
      </c>
      <c r="T21" s="193" t="n">
        <f aca="false">SUM(T7:T20)+SUM(T24:T27)</f>
        <v>7006649.63268905</v>
      </c>
      <c r="U21" s="193" t="n">
        <f aca="false">SUM(U7:U20)+SUM(U24:U27)</f>
        <v>8110834.63767067</v>
      </c>
      <c r="V21" s="193" t="n">
        <f aca="false">SUM(V7:V20)+SUM(V24:V27)</f>
        <v>9390172.77655995</v>
      </c>
      <c r="W21" s="193" t="n">
        <f aca="false">SUM(W7:W20)+SUM(W24:W27)</f>
        <v>9131653.25058628</v>
      </c>
      <c r="X21" s="193" t="n">
        <f aca="false">SUM(X7:X20)+SUM(X24:X27)</f>
        <v>10263839.4736428</v>
      </c>
      <c r="Y21" s="193" t="n">
        <f aca="false">SUM(Y7:Y20)+SUM(Y24:Y27)</f>
        <v>9266201.16456512</v>
      </c>
      <c r="Z21" s="193" t="n">
        <f aca="false">SUM(Z7:Z20)+SUM(Z24:Z27)</f>
        <v>11259638.7625648</v>
      </c>
      <c r="AA21" s="193" t="n">
        <f aca="false">SUM(AA7:AA20)+SUM(AA24:AA27)</f>
        <v>10295139.4425547</v>
      </c>
      <c r="AB21" s="193" t="n">
        <f aca="false">SUM(AB7:AB20)+SUM(AB24:AB27)</f>
        <v>11302504.9284542</v>
      </c>
      <c r="AC21" s="193" t="n">
        <f aca="false">SUM(AC7:AC20)+SUM(AC24:AC27)</f>
        <v>10780165.9158495</v>
      </c>
      <c r="AD21" s="193" t="n">
        <f aca="false">SUM(AD7:AD20)+SUM(AD24:AD27)</f>
        <v>9774899.39729654</v>
      </c>
      <c r="AE21" s="193" t="n">
        <f aca="false">SUM(AE7:AE20)+SUM(AE24:AE27)</f>
        <v>8967621.50352244</v>
      </c>
      <c r="AF21" s="193" t="n">
        <f aca="false">SUM(AF7:AF20)+SUM(AF24:AF27)</f>
        <v>8919775.86129417</v>
      </c>
      <c r="AG21" s="193" t="n">
        <f aca="false">SUM(AG7:AG20)+SUM(AG24:AG27)</f>
        <v>9042908.24567025</v>
      </c>
      <c r="AH21" s="193" t="n">
        <f aca="false">SUM(AH7:AH20)+SUM(AH24:AH27)</f>
        <v>8845791.73864393</v>
      </c>
      <c r="AI21" s="193" t="n">
        <f aca="false">SUM(AI7:AI20)+SUM(AI24:AI27)</f>
        <v>9113031.34686282</v>
      </c>
      <c r="AJ21" s="193" t="n">
        <f aca="false">SUM(AJ7:AJ20)+SUM(AJ24:AJ27)</f>
        <v>8433142.8534675</v>
      </c>
      <c r="AK21" s="193" t="n">
        <f aca="false">SUM(AK7:AK20)+SUM(AK24:AK27)</f>
        <v>7877051.09953901</v>
      </c>
      <c r="AL21" s="193" t="n">
        <f aca="false">SUM(AL7:AL20)+SUM(AL24:AL27)</f>
        <v>6518586.75272965</v>
      </c>
      <c r="AM21" s="193" t="n">
        <f aca="false">SUM(AM7:AM20)+SUM(AM24:AM27)</f>
        <v>5786084.14040733</v>
      </c>
      <c r="AN21" s="193" t="n">
        <f aca="false">SUM(AN7:AN20)+SUM(AN24:AN27)</f>
        <v>5667046.23110101</v>
      </c>
      <c r="AO21" s="193" t="n">
        <f aca="false">SUM(AO7:AO20)+SUM(AO24:AO27)</f>
        <v>5499522.20918253</v>
      </c>
      <c r="AP21" s="193" t="n">
        <f aca="false">SUM(AP7:AP20)+SUM(AP24:AP27)</f>
        <v>4357134.72336438</v>
      </c>
      <c r="AQ21" s="193" t="n">
        <f aca="false">SUM(AQ7:AQ20)+SUM(AQ24:AQ27)</f>
        <v>3663813.4939547</v>
      </c>
      <c r="AR21" s="193" t="n">
        <f aca="false">SUM(AR7:AR20)+SUM(AR24:AR27)</f>
        <v>3456824.26578518</v>
      </c>
      <c r="AS21" s="193" t="n">
        <f aca="false">SUM(AS7:AS20)+SUM(AS24:AS27)</f>
        <v>2722815.44434132</v>
      </c>
      <c r="AT21" s="193" t="n">
        <f aca="false">SUM(AT7:AT20)+SUM(AT24:AT27)</f>
        <v>2633830.85838132</v>
      </c>
      <c r="AU21" s="193" t="n">
        <f aca="false">SUM(AU7:AU20)+SUM(AU24:AU27)</f>
        <v>2527703.10646532</v>
      </c>
      <c r="AV21" s="193" t="n">
        <f aca="false">SUM(AV7:AV20)+SUM(AV24:AV27)</f>
        <v>2406116.56224532</v>
      </c>
      <c r="AW21" s="193" t="n">
        <f aca="false">SUM(AW7:AW20)+SUM(AW24:AW27)</f>
        <v>2120279.91504848</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599</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10</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12</v>
      </c>
      <c r="AA22" s="194" t="n">
        <f aca="false">COUNT(AA7:AA20)+COUNT(AA24:AA27)</f>
        <v>12</v>
      </c>
      <c r="AB22" s="194" t="n">
        <f aca="false">COUNT(AB7:AB20)+COUNT(AB24:AB27)</f>
        <v>12</v>
      </c>
      <c r="AC22" s="194" t="n">
        <f aca="false">COUNT(AC7:AC20)+COUNT(AC24:AC27)</f>
        <v>12</v>
      </c>
      <c r="AD22" s="194" t="n">
        <f aca="false">COUNT(AD7:AD20)+COUNT(AD24:AD27)</f>
        <v>11</v>
      </c>
      <c r="AE22" s="194" t="n">
        <f aca="false">COUNT(AE7:AE20)+COUNT(AE24:AE27)</f>
        <v>10</v>
      </c>
      <c r="AF22" s="194" t="n">
        <f aca="false">COUNT(AF7:AF20)+COUNT(AF24:AF27)</f>
        <v>10</v>
      </c>
      <c r="AG22" s="194" t="n">
        <f aca="false">COUNT(AG7:AG20)+COUNT(AG24:AG27)</f>
        <v>11</v>
      </c>
      <c r="AH22" s="194" t="n">
        <f aca="false">COUNT(AH7:AH20)+COUNT(AH24:AH27)</f>
        <v>11</v>
      </c>
      <c r="AI22" s="194" t="n">
        <f aca="false">COUNT(AI7:AI20)+COUNT(AI24:AI27)</f>
        <v>9</v>
      </c>
      <c r="AJ22" s="194" t="n">
        <f aca="false">COUNT(AJ7:AJ20)+COUNT(AJ24:AJ27)</f>
        <v>8</v>
      </c>
      <c r="AK22" s="194" t="n">
        <f aca="false">COUNT(AK7:AK20)+COUNT(AK24:AK27)</f>
        <v>7</v>
      </c>
      <c r="AL22" s="194" t="n">
        <f aca="false">COUNT(AL7:AL20)+COUNT(AL24:AL27)</f>
        <v>7</v>
      </c>
      <c r="AM22" s="194" t="n">
        <f aca="false">COUNT(AM7:AM20)+COUNT(AM24:AM27)</f>
        <v>5</v>
      </c>
      <c r="AN22" s="194" t="n">
        <f aca="false">COUNT(AN7:AN20)+COUNT(AN24:AN27)</f>
        <v>5</v>
      </c>
      <c r="AO22" s="194" t="n">
        <f aca="false">COUNT(AO7:AO20)+COUNT(AO24:AO27)</f>
        <v>5</v>
      </c>
      <c r="AP22" s="194" t="n">
        <f aca="false">COUNT(AP7:AP20)+COUNT(AP24:AP27)</f>
        <v>5</v>
      </c>
      <c r="AQ22" s="194" t="n">
        <f aca="false">COUNT(AQ7:AQ20)+COUNT(AQ24:AQ27)</f>
        <v>3</v>
      </c>
      <c r="AR22" s="194" t="n">
        <f aca="false">COUNT(AR7:AR20)+COUNT(AR24:AR27)</f>
        <v>3</v>
      </c>
      <c r="AS22" s="194" t="n">
        <f aca="false">COUNT(AS7:AS20)+COUNT(AS24:AS27)</f>
        <v>3</v>
      </c>
      <c r="AT22" s="194" t="n">
        <f aca="false">COUNT(AT7:AT20)+COUNT(AT24:AT27)</f>
        <v>3</v>
      </c>
      <c r="AU22" s="194" t="n">
        <f aca="false">COUNT(AU7:AU20)+COUNT(AU24:AU27)</f>
        <v>3</v>
      </c>
      <c r="AV22" s="194" t="n">
        <f aca="false">COUNT(AV7:AV20)+COUNT(AV24:AV27)</f>
        <v>3</v>
      </c>
      <c r="AW22" s="194" t="n">
        <f aca="false">COUNT(AW7:AW20)+COUNT(AW24:AW27)</f>
        <v>3</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600</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22013385.6151432</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n">
        <f aca="false">IF(Model!X29=0,"",Model!X29)</f>
        <v>544360.803130946</v>
      </c>
      <c r="AA26" s="192" t="n">
        <f aca="false">IF(Model!Y29=0,"",Model!Y29)</f>
        <v>700625.211272466</v>
      </c>
      <c r="AB26" s="192" t="n">
        <f aca="false">IF(Model!Z29=0,"",Model!Z29)</f>
        <v>868827.179100646</v>
      </c>
      <c r="AC26" s="192" t="n">
        <f aca="false">IF(Model!AA29=0,"",Model!AA29)</f>
        <v>1042259.65002005</v>
      </c>
      <c r="AD26" s="192" t="n">
        <f aca="false">IF(Model!AB29=0,"",Model!AB29)</f>
        <v>1212588.85594753</v>
      </c>
      <c r="AE26" s="192" t="n">
        <f aca="false">IF(Model!AC29=0,"",Model!AC29)</f>
        <v>1370354.84392385</v>
      </c>
      <c r="AF26" s="192" t="n">
        <f aca="false">IF(Model!AD29=0,"",Model!AD29)</f>
        <v>1505872.42401455</v>
      </c>
      <c r="AG26" s="192" t="n">
        <f aca="false">IF(Model!AE29=0,"",Model!AE29)</f>
        <v>1610157.14354141</v>
      </c>
      <c r="AH26" s="192" t="n">
        <f aca="false">IF(Model!AF29=0,"",Model!AF29)</f>
        <v>1675926.34030565</v>
      </c>
      <c r="AI26" s="192" t="n">
        <f aca="false">IF(Model!AG29=0,"",Model!AG29)</f>
        <v>1698399.98516649</v>
      </c>
      <c r="AJ26" s="192" t="n">
        <f aca="false">IF(Model!AH29=0,"",Model!AH29)</f>
        <v>1675926.34030565</v>
      </c>
      <c r="AK26" s="192" t="n">
        <f aca="false">IF(Model!AI29=0,"",Model!AI29)</f>
        <v>1610157.14354141</v>
      </c>
      <c r="AL26" s="192" t="n">
        <f aca="false">IF(Model!AJ29=0,"",Model!AJ29)</f>
        <v>1505872.42401455</v>
      </c>
      <c r="AM26" s="192" t="n">
        <f aca="false">IF(Model!AK29=0,"",Model!AK29)</f>
        <v>1370354.84392385</v>
      </c>
      <c r="AN26" s="192" t="n">
        <f aca="false">IF(Model!AL29=0,"",Model!AL29)</f>
        <v>1212588.85594753</v>
      </c>
      <c r="AO26" s="192" t="n">
        <f aca="false">IF(Model!AM29=0,"",Model!AM29)</f>
        <v>1042259.65002005</v>
      </c>
      <c r="AP26" s="192" t="n">
        <f aca="false">IF(Model!AN29=0,"",Model!AN29)</f>
        <v>868827.179100646</v>
      </c>
      <c r="AQ26" s="192" t="n">
        <f aca="false">IF(Model!AO29=0,"",Model!AO29)</f>
        <v>700625.211272466</v>
      </c>
      <c r="AR26" s="192" t="n">
        <f aca="false">IF(Model!AP29=0,"",Model!AP29)</f>
        <v>544360.803130946</v>
      </c>
      <c r="AS26" s="192" t="n">
        <f aca="false">IF(Model!AQ29=0,"",Model!AQ29)</f>
        <v>-119262.404858914</v>
      </c>
      <c r="AT26" s="192" t="n">
        <f aca="false">IF(Model!AR29=0,"",Model!AR29)</f>
        <v>-119262.404858914</v>
      </c>
      <c r="AU26" s="192" t="n">
        <f aca="false">IF(Model!AS29=0,"",Model!AS29)</f>
        <v>-119262.404858914</v>
      </c>
      <c r="AV26" s="192" t="n">
        <f aca="false">IF(Model!AT29=0,"",Model!AT29)</f>
        <v>-119262.404858914</v>
      </c>
      <c r="AW26" s="192" t="n">
        <f aca="false">IF(Model!AU29=0,"",Model!AU29)</f>
        <v>-269909.653101753</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46600</v>
      </c>
      <c r="D29" s="190" t="n">
        <f aca="false">EDATE(Model!$E$2,Projects!$C$23+Projects!$D$23-2)</f>
        <v>47150</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46813</v>
      </c>
      <c r="D30" s="190" t="n">
        <f aca="false">EDATE(Model!$E$2,Projects!$C$24+Projects!$D$24-2)</f>
        <v>47362</v>
      </c>
      <c r="E30" s="191" t="n">
        <f aca="false">Projects!$D$24</f>
        <v>19</v>
      </c>
      <c r="F30" s="189" t="n">
        <f aca="false">SUM(G30:DB30)</f>
        <v>15832962</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n">
        <f aca="false">IF(Model!AB33=0,"",Model!AB33)</f>
        <v>368954.1</v>
      </c>
      <c r="AE30" s="192" t="n">
        <f aca="false">IF(Model!AC33=0,"",Model!AC33)</f>
        <v>481346.1</v>
      </c>
      <c r="AF30" s="192" t="n">
        <f aca="false">IF(Model!AD33=0,"",Model!AD33)</f>
        <v>602324.1</v>
      </c>
      <c r="AG30" s="192" t="n">
        <f aca="false">IF(Model!AE33=0,"",Model!AE33)</f>
        <v>727064.1</v>
      </c>
      <c r="AH30" s="192" t="n">
        <f aca="false">IF(Model!AF33=0,"",Model!AF33)</f>
        <v>849572.1</v>
      </c>
      <c r="AI30" s="192" t="n">
        <f aca="false">IF(Model!AG33=0,"",Model!AG33)</f>
        <v>963044.1</v>
      </c>
      <c r="AJ30" s="192" t="n">
        <f aca="false">IF(Model!AH33=0,"",Model!AH33)</f>
        <v>1060514.1</v>
      </c>
      <c r="AK30" s="192" t="n">
        <f aca="false">IF(Model!AI33=0,"",Model!AI33)</f>
        <v>1135520.1</v>
      </c>
      <c r="AL30" s="192" t="n">
        <f aca="false">IF(Model!AJ33=0,"",Model!AJ33)</f>
        <v>1182824.1</v>
      </c>
      <c r="AM30" s="192" t="n">
        <f aca="false">IF(Model!AK33=0,"",Model!AK33)</f>
        <v>1198988.1</v>
      </c>
      <c r="AN30" s="192" t="n">
        <f aca="false">IF(Model!AL33=0,"",Model!AL33)</f>
        <v>1182824.1</v>
      </c>
      <c r="AO30" s="192" t="n">
        <f aca="false">IF(Model!AM33=0,"",Model!AM33)</f>
        <v>1135520.1</v>
      </c>
      <c r="AP30" s="192" t="n">
        <f aca="false">IF(Model!AN33=0,"",Model!AN33)</f>
        <v>1060514.1</v>
      </c>
      <c r="AQ30" s="192" t="n">
        <f aca="false">IF(Model!AO33=0,"",Model!AO33)</f>
        <v>963044.1</v>
      </c>
      <c r="AR30" s="192" t="n">
        <f aca="false">IF(Model!AP33=0,"",Model!AP33)</f>
        <v>849572.1</v>
      </c>
      <c r="AS30" s="192" t="n">
        <f aca="false">IF(Model!AQ33=0,"",Model!AQ33)</f>
        <v>727064.1</v>
      </c>
      <c r="AT30" s="192" t="n">
        <f aca="false">IF(Model!AR33=0,"",Model!AR33)</f>
        <v>602324.1</v>
      </c>
      <c r="AU30" s="192" t="n">
        <f aca="false">IF(Model!AS33=0,"",Model!AS33)</f>
        <v>481346.1</v>
      </c>
      <c r="AV30" s="192" t="n">
        <f aca="false">IF(Model!AT33=0,"",Model!AT33)</f>
        <v>260602.2</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46966</v>
      </c>
      <c r="D31" s="190" t="n">
        <f aca="false">EDATE(Model!$E$2,Projects!$C$25+Projects!$D$25-2)</f>
        <v>47515</v>
      </c>
      <c r="E31" s="191" t="n">
        <f aca="false">Projects!$D$25</f>
        <v>19</v>
      </c>
      <c r="F31" s="189" t="n">
        <f aca="false">SUM(G31:DB31)</f>
        <v>15832962</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n">
        <f aca="false">IF(Model!AG34=0,"",Model!AG34)</f>
        <v>368954.1</v>
      </c>
      <c r="AJ31" s="192" t="n">
        <f aca="false">IF(Model!AH34=0,"",Model!AH34)</f>
        <v>481346.1</v>
      </c>
      <c r="AK31" s="192" t="n">
        <f aca="false">IF(Model!AI34=0,"",Model!AI34)</f>
        <v>602324.1</v>
      </c>
      <c r="AL31" s="192" t="n">
        <f aca="false">IF(Model!AJ34=0,"",Model!AJ34)</f>
        <v>727064.1</v>
      </c>
      <c r="AM31" s="192" t="n">
        <f aca="false">IF(Model!AK34=0,"",Model!AK34)</f>
        <v>849572.1</v>
      </c>
      <c r="AN31" s="192" t="n">
        <f aca="false">IF(Model!AL34=0,"",Model!AL34)</f>
        <v>963044.1</v>
      </c>
      <c r="AO31" s="192" t="n">
        <f aca="false">IF(Model!AM34=0,"",Model!AM34)</f>
        <v>1060514.1</v>
      </c>
      <c r="AP31" s="192" t="n">
        <f aca="false">IF(Model!AN34=0,"",Model!AN34)</f>
        <v>1135520.1</v>
      </c>
      <c r="AQ31" s="192" t="n">
        <f aca="false">IF(Model!AO34=0,"",Model!AO34)</f>
        <v>1182824.1</v>
      </c>
      <c r="AR31" s="192" t="n">
        <f aca="false">IF(Model!AP34=0,"",Model!AP34)</f>
        <v>1198988.1</v>
      </c>
      <c r="AS31" s="192" t="n">
        <f aca="false">IF(Model!AQ34=0,"",Model!AQ34)</f>
        <v>1182824.1</v>
      </c>
      <c r="AT31" s="192" t="n">
        <f aca="false">IF(Model!AR34=0,"",Model!AR34)</f>
        <v>1135520.1</v>
      </c>
      <c r="AU31" s="192" t="n">
        <f aca="false">IF(Model!AS34=0,"",Model!AS34)</f>
        <v>1060514.1</v>
      </c>
      <c r="AV31" s="192" t="n">
        <f aca="false">IF(Model!AT34=0,"",Model!AT34)</f>
        <v>963044.1</v>
      </c>
      <c r="AW31" s="192" t="n">
        <f aca="false">IF(Model!AU34=0,"",Model!AU34)</f>
        <v>849572.1</v>
      </c>
      <c r="AX31" s="192" t="n">
        <f aca="false">IF(Model!AV34=0,"",Model!AV34)</f>
        <v>727064.1</v>
      </c>
      <c r="AY31" s="192" t="n">
        <f aca="false">IF(Model!AW34=0,"",Model!AW34)</f>
        <v>602324.1</v>
      </c>
      <c r="AZ31" s="192" t="n">
        <f aca="false">IF(Model!AX34=0,"",Model!AX34)</f>
        <v>481346.1</v>
      </c>
      <c r="BA31" s="192" t="n">
        <f aca="false">IF(Model!AY34=0,"",Model!AY34)</f>
        <v>260602.2</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46997</v>
      </c>
      <c r="D32" s="190" t="n">
        <f aca="false">EDATE(Model!$E$2,Projects!$C$26+Projects!$D$26-2)</f>
        <v>47543</v>
      </c>
      <c r="E32" s="191" t="n">
        <f aca="false">Projects!$D$26</f>
        <v>19</v>
      </c>
      <c r="F32" s="189" t="n">
        <f aca="false">SUM(G32:DB32)</f>
        <v>15832962</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n">
        <f aca="false">IF(Model!AH35=0,"",Model!AH35)</f>
        <v>368954.1</v>
      </c>
      <c r="AK32" s="192" t="n">
        <f aca="false">IF(Model!AI35=0,"",Model!AI35)</f>
        <v>481346.1</v>
      </c>
      <c r="AL32" s="192" t="n">
        <f aca="false">IF(Model!AJ35=0,"",Model!AJ35)</f>
        <v>602324.1</v>
      </c>
      <c r="AM32" s="192" t="n">
        <f aca="false">IF(Model!AK35=0,"",Model!AK35)</f>
        <v>727064.1</v>
      </c>
      <c r="AN32" s="192" t="n">
        <f aca="false">IF(Model!AL35=0,"",Model!AL35)</f>
        <v>849572.1</v>
      </c>
      <c r="AO32" s="192" t="n">
        <f aca="false">IF(Model!AM35=0,"",Model!AM35)</f>
        <v>963044.1</v>
      </c>
      <c r="AP32" s="192" t="n">
        <f aca="false">IF(Model!AN35=0,"",Model!AN35)</f>
        <v>1060514.1</v>
      </c>
      <c r="AQ32" s="192" t="n">
        <f aca="false">IF(Model!AO35=0,"",Model!AO35)</f>
        <v>1135520.1</v>
      </c>
      <c r="AR32" s="192" t="n">
        <f aca="false">IF(Model!AP35=0,"",Model!AP35)</f>
        <v>1182824.1</v>
      </c>
      <c r="AS32" s="192" t="n">
        <f aca="false">IF(Model!AQ35=0,"",Model!AQ35)</f>
        <v>1198988.1</v>
      </c>
      <c r="AT32" s="192" t="n">
        <f aca="false">IF(Model!AR35=0,"",Model!AR35)</f>
        <v>1182824.1</v>
      </c>
      <c r="AU32" s="192" t="n">
        <f aca="false">IF(Model!AS35=0,"",Model!AS35)</f>
        <v>1135520.1</v>
      </c>
      <c r="AV32" s="192" t="n">
        <f aca="false">IF(Model!AT35=0,"",Model!AT35)</f>
        <v>1060514.1</v>
      </c>
      <c r="AW32" s="192" t="n">
        <f aca="false">IF(Model!AU35=0,"",Model!AU35)</f>
        <v>963044.1</v>
      </c>
      <c r="AX32" s="192" t="n">
        <f aca="false">IF(Model!AV35=0,"",Model!AV35)</f>
        <v>849572.1</v>
      </c>
      <c r="AY32" s="192" t="n">
        <f aca="false">IF(Model!AW35=0,"",Model!AW35)</f>
        <v>727064.1</v>
      </c>
      <c r="AZ32" s="192" t="n">
        <f aca="false">IF(Model!AX35=0,"",Model!AX35)</f>
        <v>602324.1</v>
      </c>
      <c r="BA32" s="192" t="n">
        <f aca="false">IF(Model!AY35=0,"",Model!AY35)</f>
        <v>481346.1</v>
      </c>
      <c r="BB32" s="192" t="n">
        <f aca="false">IF(Model!AZ35=0,"",Model!AZ35)</f>
        <v>260602.2</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47027</v>
      </c>
      <c r="D33" s="190" t="n">
        <f aca="false">EDATE(Model!$E$2,Projects!$C$27+Projects!$D$27-2)</f>
        <v>47574</v>
      </c>
      <c r="E33" s="191" t="n">
        <f aca="false">Projects!$D$27</f>
        <v>19</v>
      </c>
      <c r="F33" s="189" t="n">
        <f aca="false">SUM(G33:DB33)</f>
        <v>13194135</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n">
        <f aca="false">IF(Model!AI36=0,"",Model!AI36)</f>
        <v>307461.75</v>
      </c>
      <c r="AL33" s="192" t="n">
        <f aca="false">IF(Model!AJ36=0,"",Model!AJ36)</f>
        <v>401121.75</v>
      </c>
      <c r="AM33" s="192" t="n">
        <f aca="false">IF(Model!AK36=0,"",Model!AK36)</f>
        <v>501936.75</v>
      </c>
      <c r="AN33" s="192" t="n">
        <f aca="false">IF(Model!AL36=0,"",Model!AL36)</f>
        <v>605886.75</v>
      </c>
      <c r="AO33" s="192" t="n">
        <f aca="false">IF(Model!AM36=0,"",Model!AM36)</f>
        <v>707976.75</v>
      </c>
      <c r="AP33" s="192" t="n">
        <f aca="false">IF(Model!AN36=0,"",Model!AN36)</f>
        <v>802536.75</v>
      </c>
      <c r="AQ33" s="192" t="n">
        <f aca="false">IF(Model!AO36=0,"",Model!AO36)</f>
        <v>883761.75</v>
      </c>
      <c r="AR33" s="192" t="n">
        <f aca="false">IF(Model!AP36=0,"",Model!AP36)</f>
        <v>946266.75</v>
      </c>
      <c r="AS33" s="192" t="n">
        <f aca="false">IF(Model!AQ36=0,"",Model!AQ36)</f>
        <v>985686.75</v>
      </c>
      <c r="AT33" s="192" t="n">
        <f aca="false">IF(Model!AR36=0,"",Model!AR36)</f>
        <v>999156.75</v>
      </c>
      <c r="AU33" s="192" t="n">
        <f aca="false">IF(Model!AS36=0,"",Model!AS36)</f>
        <v>985686.75</v>
      </c>
      <c r="AV33" s="192" t="n">
        <f aca="false">IF(Model!AT36=0,"",Model!AT36)</f>
        <v>946266.75</v>
      </c>
      <c r="AW33" s="192" t="n">
        <f aca="false">IF(Model!AU36=0,"",Model!AU36)</f>
        <v>883761.75</v>
      </c>
      <c r="AX33" s="192" t="n">
        <f aca="false">IF(Model!AV36=0,"",Model!AV36)</f>
        <v>802536.75</v>
      </c>
      <c r="AY33" s="192" t="n">
        <f aca="false">IF(Model!AW36=0,"",Model!AW36)</f>
        <v>707976.75</v>
      </c>
      <c r="AZ33" s="192" t="n">
        <f aca="false">IF(Model!AX36=0,"",Model!AX36)</f>
        <v>605886.75</v>
      </c>
      <c r="BA33" s="192" t="n">
        <f aca="false">IF(Model!AY36=0,"",Model!AY36)</f>
        <v>501936.75</v>
      </c>
      <c r="BB33" s="192" t="n">
        <f aca="false">IF(Model!AZ36=0,"",Model!AZ36)</f>
        <v>401121.75</v>
      </c>
      <c r="BC33" s="192" t="n">
        <f aca="false">IF(Model!BA36=0,"",Model!BA36)</f>
        <v>217168.5</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47058</v>
      </c>
      <c r="D34" s="190" t="n">
        <f aca="false">EDATE(Model!$E$2,Projects!$C$28+Projects!$D$28-2)</f>
        <v>47604</v>
      </c>
      <c r="E34" s="191" t="n">
        <f aca="false">Projects!$D$28</f>
        <v>19</v>
      </c>
      <c r="F34" s="189" t="n">
        <f aca="false">SUM(G34:DB34)</f>
        <v>13194135</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n">
        <f aca="false">IF(Model!AJ37=0,"",Model!AJ37)</f>
        <v>307461.75</v>
      </c>
      <c r="AM34" s="192" t="n">
        <f aca="false">IF(Model!AK37=0,"",Model!AK37)</f>
        <v>401121.75</v>
      </c>
      <c r="AN34" s="192" t="n">
        <f aca="false">IF(Model!AL37=0,"",Model!AL37)</f>
        <v>501936.75</v>
      </c>
      <c r="AO34" s="192" t="n">
        <f aca="false">IF(Model!AM37=0,"",Model!AM37)</f>
        <v>605886.75</v>
      </c>
      <c r="AP34" s="192" t="n">
        <f aca="false">IF(Model!AN37=0,"",Model!AN37)</f>
        <v>707976.75</v>
      </c>
      <c r="AQ34" s="192" t="n">
        <f aca="false">IF(Model!AO37=0,"",Model!AO37)</f>
        <v>802536.75</v>
      </c>
      <c r="AR34" s="192" t="n">
        <f aca="false">IF(Model!AP37=0,"",Model!AP37)</f>
        <v>883761.75</v>
      </c>
      <c r="AS34" s="192" t="n">
        <f aca="false">IF(Model!AQ37=0,"",Model!AQ37)</f>
        <v>946266.75</v>
      </c>
      <c r="AT34" s="192" t="n">
        <f aca="false">IF(Model!AR37=0,"",Model!AR37)</f>
        <v>985686.75</v>
      </c>
      <c r="AU34" s="192" t="n">
        <f aca="false">IF(Model!AS37=0,"",Model!AS37)</f>
        <v>999156.75</v>
      </c>
      <c r="AV34" s="192" t="n">
        <f aca="false">IF(Model!AT37=0,"",Model!AT37)</f>
        <v>985686.75</v>
      </c>
      <c r="AW34" s="192" t="n">
        <f aca="false">IF(Model!AU37=0,"",Model!AU37)</f>
        <v>946266.75</v>
      </c>
      <c r="AX34" s="192" t="n">
        <f aca="false">IF(Model!AV37=0,"",Model!AV37)</f>
        <v>883761.75</v>
      </c>
      <c r="AY34" s="192" t="n">
        <f aca="false">IF(Model!AW37=0,"",Model!AW37)</f>
        <v>802536.75</v>
      </c>
      <c r="AZ34" s="192" t="n">
        <f aca="false">IF(Model!AX37=0,"",Model!AX37)</f>
        <v>707976.75</v>
      </c>
      <c r="BA34" s="192" t="n">
        <f aca="false">IF(Model!AY37=0,"",Model!AY37)</f>
        <v>605886.75</v>
      </c>
      <c r="BB34" s="192" t="n">
        <f aca="false">IF(Model!AZ37=0,"",Model!AZ37)</f>
        <v>501936.75</v>
      </c>
      <c r="BC34" s="192" t="n">
        <f aca="false">IF(Model!BA37=0,"",Model!BA37)</f>
        <v>401121.75</v>
      </c>
      <c r="BD34" s="192" t="n">
        <f aca="false">IF(Model!BB37=0,"",Model!BB37)</f>
        <v>217168.5</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47088</v>
      </c>
      <c r="D35" s="190" t="n">
        <f aca="false">EDATE(Model!$E$2,Projects!$C$29+Projects!$D$29-2)</f>
        <v>47635</v>
      </c>
      <c r="E35" s="191" t="n">
        <f aca="false">Projects!$D$29</f>
        <v>19</v>
      </c>
      <c r="F35" s="189" t="n">
        <f aca="false">SUM(G35:DB35)</f>
        <v>13194135</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n">
        <f aca="false">IF(Model!AK38=0,"",Model!AK38)</f>
        <v>307461.75</v>
      </c>
      <c r="AN35" s="192" t="n">
        <f aca="false">IF(Model!AL38=0,"",Model!AL38)</f>
        <v>401121.75</v>
      </c>
      <c r="AO35" s="192" t="n">
        <f aca="false">IF(Model!AM38=0,"",Model!AM38)</f>
        <v>501936.75</v>
      </c>
      <c r="AP35" s="192" t="n">
        <f aca="false">IF(Model!AN38=0,"",Model!AN38)</f>
        <v>605886.75</v>
      </c>
      <c r="AQ35" s="192" t="n">
        <f aca="false">IF(Model!AO38=0,"",Model!AO38)</f>
        <v>707976.75</v>
      </c>
      <c r="AR35" s="192" t="n">
        <f aca="false">IF(Model!AP38=0,"",Model!AP38)</f>
        <v>802536.75</v>
      </c>
      <c r="AS35" s="192" t="n">
        <f aca="false">IF(Model!AQ38=0,"",Model!AQ38)</f>
        <v>883761.75</v>
      </c>
      <c r="AT35" s="192" t="n">
        <f aca="false">IF(Model!AR38=0,"",Model!AR38)</f>
        <v>946266.75</v>
      </c>
      <c r="AU35" s="192" t="n">
        <f aca="false">IF(Model!AS38=0,"",Model!AS38)</f>
        <v>985686.75</v>
      </c>
      <c r="AV35" s="192" t="n">
        <f aca="false">IF(Model!AT38=0,"",Model!AT38)</f>
        <v>999156.75</v>
      </c>
      <c r="AW35" s="192" t="n">
        <f aca="false">IF(Model!AU38=0,"",Model!AU38)</f>
        <v>985686.75</v>
      </c>
      <c r="AX35" s="192" t="n">
        <f aca="false">IF(Model!AV38=0,"",Model!AV38)</f>
        <v>946266.75</v>
      </c>
      <c r="AY35" s="192" t="n">
        <f aca="false">IF(Model!AW38=0,"",Model!AW38)</f>
        <v>883761.75</v>
      </c>
      <c r="AZ35" s="192" t="n">
        <f aca="false">IF(Model!AX38=0,"",Model!AX38)</f>
        <v>802536.75</v>
      </c>
      <c r="BA35" s="192" t="n">
        <f aca="false">IF(Model!AY38=0,"",Model!AY38)</f>
        <v>707976.75</v>
      </c>
      <c r="BB35" s="192" t="n">
        <f aca="false">IF(Model!AZ38=0,"",Model!AZ38)</f>
        <v>605886.75</v>
      </c>
      <c r="BC35" s="192" t="n">
        <f aca="false">IF(Model!BA38=0,"",Model!BA38)</f>
        <v>501936.75</v>
      </c>
      <c r="BD35" s="192" t="n">
        <f aca="false">IF(Model!BB38=0,"",Model!BB38)</f>
        <v>401121.75</v>
      </c>
      <c r="BE35" s="192" t="n">
        <f aca="false">IF(Model!BC38=0,"",Model!BC38)</f>
        <v>217168.5</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47119</v>
      </c>
      <c r="D36" s="190" t="n">
        <f aca="false">EDATE(Model!$E$2,Projects!$C$30+Projects!$D$30-2)</f>
        <v>47665</v>
      </c>
      <c r="E36" s="191" t="n">
        <f aca="false">Projects!$D$30</f>
        <v>19</v>
      </c>
      <c r="F36" s="189" t="n">
        <f aca="false">SUM(G36:DB36)</f>
        <v>13194135</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n">
        <f aca="false">IF(Model!AL39=0,"",Model!AL39)</f>
        <v>307461.75</v>
      </c>
      <c r="AO36" s="192" t="n">
        <f aca="false">IF(Model!AM39=0,"",Model!AM39)</f>
        <v>401121.75</v>
      </c>
      <c r="AP36" s="192" t="n">
        <f aca="false">IF(Model!AN39=0,"",Model!AN39)</f>
        <v>501936.75</v>
      </c>
      <c r="AQ36" s="192" t="n">
        <f aca="false">IF(Model!AO39=0,"",Model!AO39)</f>
        <v>605886.75</v>
      </c>
      <c r="AR36" s="192" t="n">
        <f aca="false">IF(Model!AP39=0,"",Model!AP39)</f>
        <v>707976.75</v>
      </c>
      <c r="AS36" s="192" t="n">
        <f aca="false">IF(Model!AQ39=0,"",Model!AQ39)</f>
        <v>802536.75</v>
      </c>
      <c r="AT36" s="192" t="n">
        <f aca="false">IF(Model!AR39=0,"",Model!AR39)</f>
        <v>883761.75</v>
      </c>
      <c r="AU36" s="192" t="n">
        <f aca="false">IF(Model!AS39=0,"",Model!AS39)</f>
        <v>946266.75</v>
      </c>
      <c r="AV36" s="192" t="n">
        <f aca="false">IF(Model!AT39=0,"",Model!AT39)</f>
        <v>985686.75</v>
      </c>
      <c r="AW36" s="192" t="n">
        <f aca="false">IF(Model!AU39=0,"",Model!AU39)</f>
        <v>999156.75</v>
      </c>
      <c r="AX36" s="192" t="n">
        <f aca="false">IF(Model!AV39=0,"",Model!AV39)</f>
        <v>985686.75</v>
      </c>
      <c r="AY36" s="192" t="n">
        <f aca="false">IF(Model!AW39=0,"",Model!AW39)</f>
        <v>946266.75</v>
      </c>
      <c r="AZ36" s="192" t="n">
        <f aca="false">IF(Model!AX39=0,"",Model!AX39)</f>
        <v>883761.75</v>
      </c>
      <c r="BA36" s="192" t="n">
        <f aca="false">IF(Model!AY39=0,"",Model!AY39)</f>
        <v>802536.75</v>
      </c>
      <c r="BB36" s="192" t="n">
        <f aca="false">IF(Model!AZ39=0,"",Model!AZ39)</f>
        <v>707976.75</v>
      </c>
      <c r="BC36" s="192" t="n">
        <f aca="false">IF(Model!BA39=0,"",Model!BA39)</f>
        <v>605886.75</v>
      </c>
      <c r="BD36" s="192" t="n">
        <f aca="false">IF(Model!BB39=0,"",Model!BB39)</f>
        <v>501936.75</v>
      </c>
      <c r="BE36" s="192" t="n">
        <f aca="false">IF(Model!BC39=0,"",Model!BC39)</f>
        <v>401121.75</v>
      </c>
      <c r="BF36" s="192" t="n">
        <f aca="false">IF(Model!BD39=0,"",Model!BD39)</f>
        <v>217168.5</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47150</v>
      </c>
      <c r="D37" s="190" t="n">
        <f aca="false">EDATE(Model!$E$2,Projects!$C$31+Projects!$D$31-2)</f>
        <v>47696</v>
      </c>
      <c r="E37" s="191" t="n">
        <f aca="false">Projects!$D$31</f>
        <v>19</v>
      </c>
      <c r="F37" s="189" t="n">
        <f aca="false">SUM(G37:DB37)</f>
        <v>15832962</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n">
        <f aca="false">IF(Model!AM40=0,"",Model!AM40)</f>
        <v>368954.1</v>
      </c>
      <c r="AP37" s="192" t="n">
        <f aca="false">IF(Model!AN40=0,"",Model!AN40)</f>
        <v>481346.1</v>
      </c>
      <c r="AQ37" s="192" t="n">
        <f aca="false">IF(Model!AO40=0,"",Model!AO40)</f>
        <v>602324.1</v>
      </c>
      <c r="AR37" s="192" t="n">
        <f aca="false">IF(Model!AP40=0,"",Model!AP40)</f>
        <v>727064.1</v>
      </c>
      <c r="AS37" s="192" t="n">
        <f aca="false">IF(Model!AQ40=0,"",Model!AQ40)</f>
        <v>849572.1</v>
      </c>
      <c r="AT37" s="192" t="n">
        <f aca="false">IF(Model!AR40=0,"",Model!AR40)</f>
        <v>963044.1</v>
      </c>
      <c r="AU37" s="192" t="n">
        <f aca="false">IF(Model!AS40=0,"",Model!AS40)</f>
        <v>1060514.1</v>
      </c>
      <c r="AV37" s="192" t="n">
        <f aca="false">IF(Model!AT40=0,"",Model!AT40)</f>
        <v>1135520.1</v>
      </c>
      <c r="AW37" s="192" t="n">
        <f aca="false">IF(Model!AU40=0,"",Model!AU40)</f>
        <v>1182824.1</v>
      </c>
      <c r="AX37" s="192" t="n">
        <f aca="false">IF(Model!AV40=0,"",Model!AV40)</f>
        <v>1198988.1</v>
      </c>
      <c r="AY37" s="192" t="n">
        <f aca="false">IF(Model!AW40=0,"",Model!AW40)</f>
        <v>1182824.1</v>
      </c>
      <c r="AZ37" s="192" t="n">
        <f aca="false">IF(Model!AX40=0,"",Model!AX40)</f>
        <v>1135520.1</v>
      </c>
      <c r="BA37" s="192" t="n">
        <f aca="false">IF(Model!AY40=0,"",Model!AY40)</f>
        <v>1060514.1</v>
      </c>
      <c r="BB37" s="192" t="n">
        <f aca="false">IF(Model!AZ40=0,"",Model!AZ40)</f>
        <v>963044.1</v>
      </c>
      <c r="BC37" s="192" t="n">
        <f aca="false">IF(Model!BA40=0,"",Model!BA40)</f>
        <v>849572.1</v>
      </c>
      <c r="BD37" s="192" t="n">
        <f aca="false">IF(Model!BB40=0,"",Model!BB40)</f>
        <v>727064.1</v>
      </c>
      <c r="BE37" s="192" t="n">
        <f aca="false">IF(Model!BC40=0,"",Model!BC40)</f>
        <v>602324.1</v>
      </c>
      <c r="BF37" s="192" t="n">
        <f aca="false">IF(Model!BD40=0,"",Model!BD40)</f>
        <v>481346.1</v>
      </c>
      <c r="BG37" s="192" t="n">
        <f aca="false">IF(Model!BE40=0,"",Model!BE40)</f>
        <v>260602.2</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47178</v>
      </c>
      <c r="D38" s="190" t="n">
        <f aca="false">EDATE(Model!$E$2,Projects!$C$32+Projects!$D$32-2)</f>
        <v>47727</v>
      </c>
      <c r="E38" s="191" t="n">
        <f aca="false">Projects!$D$32</f>
        <v>19</v>
      </c>
      <c r="F38" s="189" t="n">
        <f aca="false">SUM(G38:DB38)</f>
        <v>13194135</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n">
        <f aca="false">IF(Model!AN41=0,"",Model!AN41)</f>
        <v>307461.75</v>
      </c>
      <c r="AQ38" s="192" t="n">
        <f aca="false">IF(Model!AO41=0,"",Model!AO41)</f>
        <v>401121.75</v>
      </c>
      <c r="AR38" s="192" t="n">
        <f aca="false">IF(Model!AP41=0,"",Model!AP41)</f>
        <v>501936.75</v>
      </c>
      <c r="AS38" s="192" t="n">
        <f aca="false">IF(Model!AQ41=0,"",Model!AQ41)</f>
        <v>605886.75</v>
      </c>
      <c r="AT38" s="192" t="n">
        <f aca="false">IF(Model!AR41=0,"",Model!AR41)</f>
        <v>707976.75</v>
      </c>
      <c r="AU38" s="192" t="n">
        <f aca="false">IF(Model!AS41=0,"",Model!AS41)</f>
        <v>802536.75</v>
      </c>
      <c r="AV38" s="192" t="n">
        <f aca="false">IF(Model!AT41=0,"",Model!AT41)</f>
        <v>883761.75</v>
      </c>
      <c r="AW38" s="192" t="n">
        <f aca="false">IF(Model!AU41=0,"",Model!AU41)</f>
        <v>946266.75</v>
      </c>
      <c r="AX38" s="192" t="n">
        <f aca="false">IF(Model!AV41=0,"",Model!AV41)</f>
        <v>985686.75</v>
      </c>
      <c r="AY38" s="192" t="n">
        <f aca="false">IF(Model!AW41=0,"",Model!AW41)</f>
        <v>999156.75</v>
      </c>
      <c r="AZ38" s="192" t="n">
        <f aca="false">IF(Model!AX41=0,"",Model!AX41)</f>
        <v>985686.75</v>
      </c>
      <c r="BA38" s="192" t="n">
        <f aca="false">IF(Model!AY41=0,"",Model!AY41)</f>
        <v>946266.75</v>
      </c>
      <c r="BB38" s="192" t="n">
        <f aca="false">IF(Model!AZ41=0,"",Model!AZ41)</f>
        <v>883761.75</v>
      </c>
      <c r="BC38" s="192" t="n">
        <f aca="false">IF(Model!BA41=0,"",Model!BA41)</f>
        <v>802536.75</v>
      </c>
      <c r="BD38" s="192" t="n">
        <f aca="false">IF(Model!BB41=0,"",Model!BB41)</f>
        <v>707976.75</v>
      </c>
      <c r="BE38" s="192" t="n">
        <f aca="false">IF(Model!BC41=0,"",Model!BC41)</f>
        <v>605886.75</v>
      </c>
      <c r="BF38" s="192" t="n">
        <f aca="false">IF(Model!BD41=0,"",Model!BD41)</f>
        <v>501936.75</v>
      </c>
      <c r="BG38" s="192" t="n">
        <f aca="false">IF(Model!BE41=0,"",Model!BE41)</f>
        <v>401121.75</v>
      </c>
      <c r="BH38" s="192" t="n">
        <f aca="false">IF(Model!BF41=0,"",Model!BF41)</f>
        <v>217168.5</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47209</v>
      </c>
      <c r="D39" s="190" t="n">
        <f aca="false">EDATE(Model!$E$2,Projects!$C$33+Projects!$D$33-2)</f>
        <v>47757</v>
      </c>
      <c r="E39" s="191" t="n">
        <f aca="false">Projects!$D$33</f>
        <v>19</v>
      </c>
      <c r="F39" s="189" t="n">
        <f aca="false">SUM(G39:DB39)</f>
        <v>13194135</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n">
        <f aca="false">IF(Model!AO42=0,"",Model!AO42)</f>
        <v>307461.75</v>
      </c>
      <c r="AR39" s="192" t="n">
        <f aca="false">IF(Model!AP42=0,"",Model!AP42)</f>
        <v>401121.75</v>
      </c>
      <c r="AS39" s="192" t="n">
        <f aca="false">IF(Model!AQ42=0,"",Model!AQ42)</f>
        <v>501936.75</v>
      </c>
      <c r="AT39" s="192" t="n">
        <f aca="false">IF(Model!AR42=0,"",Model!AR42)</f>
        <v>605886.75</v>
      </c>
      <c r="AU39" s="192" t="n">
        <f aca="false">IF(Model!AS42=0,"",Model!AS42)</f>
        <v>707976.75</v>
      </c>
      <c r="AV39" s="192" t="n">
        <f aca="false">IF(Model!AT42=0,"",Model!AT42)</f>
        <v>802536.75</v>
      </c>
      <c r="AW39" s="192" t="n">
        <f aca="false">IF(Model!AU42=0,"",Model!AU42)</f>
        <v>883761.75</v>
      </c>
      <c r="AX39" s="192" t="n">
        <f aca="false">IF(Model!AV42=0,"",Model!AV42)</f>
        <v>946266.75</v>
      </c>
      <c r="AY39" s="192" t="n">
        <f aca="false">IF(Model!AW42=0,"",Model!AW42)</f>
        <v>985686.75</v>
      </c>
      <c r="AZ39" s="192" t="n">
        <f aca="false">IF(Model!AX42=0,"",Model!AX42)</f>
        <v>999156.75</v>
      </c>
      <c r="BA39" s="192" t="n">
        <f aca="false">IF(Model!AY42=0,"",Model!AY42)</f>
        <v>985686.75</v>
      </c>
      <c r="BB39" s="192" t="n">
        <f aca="false">IF(Model!AZ42=0,"",Model!AZ42)</f>
        <v>946266.75</v>
      </c>
      <c r="BC39" s="192" t="n">
        <f aca="false">IF(Model!BA42=0,"",Model!BA42)</f>
        <v>883761.75</v>
      </c>
      <c r="BD39" s="192" t="n">
        <f aca="false">IF(Model!BB42=0,"",Model!BB42)</f>
        <v>802536.75</v>
      </c>
      <c r="BE39" s="192" t="n">
        <f aca="false">IF(Model!BC42=0,"",Model!BC42)</f>
        <v>707976.75</v>
      </c>
      <c r="BF39" s="192" t="n">
        <f aca="false">IF(Model!BD42=0,"",Model!BD42)</f>
        <v>605886.75</v>
      </c>
      <c r="BG39" s="192" t="n">
        <f aca="false">IF(Model!BE42=0,"",Model!BE42)</f>
        <v>501936.75</v>
      </c>
      <c r="BH39" s="192" t="n">
        <f aca="false">IF(Model!BF42=0,"",Model!BF42)</f>
        <v>401121.75</v>
      </c>
      <c r="BI39" s="192" t="n">
        <f aca="false">IF(Model!BG42=0,"",Model!BG42)</f>
        <v>217168.5</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47239</v>
      </c>
      <c r="D40" s="190" t="n">
        <f aca="false">EDATE(Model!$E$2,Projects!$C$34+Projects!$D$34-2)</f>
        <v>47788</v>
      </c>
      <c r="E40" s="191" t="n">
        <f aca="false">Projects!$D$34</f>
        <v>19</v>
      </c>
      <c r="F40" s="189" t="n">
        <f aca="false">SUM(G40:DB40)</f>
        <v>15832962</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n">
        <f aca="false">IF(Model!AP43=0,"",Model!AP43)</f>
        <v>368954.1</v>
      </c>
      <c r="AS40" s="192" t="n">
        <f aca="false">IF(Model!AQ43=0,"",Model!AQ43)</f>
        <v>481346.1</v>
      </c>
      <c r="AT40" s="192" t="n">
        <f aca="false">IF(Model!AR43=0,"",Model!AR43)</f>
        <v>602324.1</v>
      </c>
      <c r="AU40" s="192" t="n">
        <f aca="false">IF(Model!AS43=0,"",Model!AS43)</f>
        <v>727064.1</v>
      </c>
      <c r="AV40" s="192" t="n">
        <f aca="false">IF(Model!AT43=0,"",Model!AT43)</f>
        <v>849572.1</v>
      </c>
      <c r="AW40" s="192" t="n">
        <f aca="false">IF(Model!AU43=0,"",Model!AU43)</f>
        <v>963044.1</v>
      </c>
      <c r="AX40" s="192" t="n">
        <f aca="false">IF(Model!AV43=0,"",Model!AV43)</f>
        <v>1060514.1</v>
      </c>
      <c r="AY40" s="192" t="n">
        <f aca="false">IF(Model!AW43=0,"",Model!AW43)</f>
        <v>1135520.1</v>
      </c>
      <c r="AZ40" s="192" t="n">
        <f aca="false">IF(Model!AX43=0,"",Model!AX43)</f>
        <v>1182824.1</v>
      </c>
      <c r="BA40" s="192" t="n">
        <f aca="false">IF(Model!AY43=0,"",Model!AY43)</f>
        <v>1198988.1</v>
      </c>
      <c r="BB40" s="192" t="n">
        <f aca="false">IF(Model!AZ43=0,"",Model!AZ43)</f>
        <v>1182824.1</v>
      </c>
      <c r="BC40" s="192" t="n">
        <f aca="false">IF(Model!BA43=0,"",Model!BA43)</f>
        <v>1135520.1</v>
      </c>
      <c r="BD40" s="192" t="n">
        <f aca="false">IF(Model!BB43=0,"",Model!BB43)</f>
        <v>1060514.1</v>
      </c>
      <c r="BE40" s="192" t="n">
        <f aca="false">IF(Model!BC43=0,"",Model!BC43)</f>
        <v>963044.1</v>
      </c>
      <c r="BF40" s="192" t="n">
        <f aca="false">IF(Model!BD43=0,"",Model!BD43)</f>
        <v>849572.1</v>
      </c>
      <c r="BG40" s="192" t="n">
        <f aca="false">IF(Model!BE43=0,"",Model!BE43)</f>
        <v>727064.1</v>
      </c>
      <c r="BH40" s="192" t="n">
        <f aca="false">IF(Model!BF43=0,"",Model!BF43)</f>
        <v>602324.1</v>
      </c>
      <c r="BI40" s="192" t="n">
        <f aca="false">IF(Model!BG43=0,"",Model!BG43)</f>
        <v>481346.1</v>
      </c>
      <c r="BJ40" s="192" t="n">
        <f aca="false">IF(Model!BH43=0,"",Model!BH43)</f>
        <v>260602.2</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47270</v>
      </c>
      <c r="D41" s="190" t="n">
        <f aca="false">EDATE(Model!$E$2,Projects!$C$35+Projects!$D$35-2)</f>
        <v>47818</v>
      </c>
      <c r="E41" s="191" t="n">
        <f aca="false">Projects!$D$35</f>
        <v>19</v>
      </c>
      <c r="F41" s="189" t="n">
        <f aca="false">SUM(G41:DB41)</f>
        <v>13194135</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n">
        <f aca="false">IF(Model!AQ44=0,"",Model!AQ44)</f>
        <v>307461.75</v>
      </c>
      <c r="AT41" s="192" t="n">
        <f aca="false">IF(Model!AR44=0,"",Model!AR44)</f>
        <v>401121.75</v>
      </c>
      <c r="AU41" s="192" t="n">
        <f aca="false">IF(Model!AS44=0,"",Model!AS44)</f>
        <v>501936.75</v>
      </c>
      <c r="AV41" s="192" t="n">
        <f aca="false">IF(Model!AT44=0,"",Model!AT44)</f>
        <v>605886.75</v>
      </c>
      <c r="AW41" s="192" t="n">
        <f aca="false">IF(Model!AU44=0,"",Model!AU44)</f>
        <v>707976.75</v>
      </c>
      <c r="AX41" s="192" t="n">
        <f aca="false">IF(Model!AV44=0,"",Model!AV44)</f>
        <v>802536.75</v>
      </c>
      <c r="AY41" s="192" t="n">
        <f aca="false">IF(Model!AW44=0,"",Model!AW44)</f>
        <v>883761.75</v>
      </c>
      <c r="AZ41" s="192" t="n">
        <f aca="false">IF(Model!AX44=0,"",Model!AX44)</f>
        <v>946266.75</v>
      </c>
      <c r="BA41" s="192" t="n">
        <f aca="false">IF(Model!AY44=0,"",Model!AY44)</f>
        <v>985686.75</v>
      </c>
      <c r="BB41" s="192" t="n">
        <f aca="false">IF(Model!AZ44=0,"",Model!AZ44)</f>
        <v>999156.75</v>
      </c>
      <c r="BC41" s="192" t="n">
        <f aca="false">IF(Model!BA44=0,"",Model!BA44)</f>
        <v>985686.75</v>
      </c>
      <c r="BD41" s="192" t="n">
        <f aca="false">IF(Model!BB44=0,"",Model!BB44)</f>
        <v>946266.75</v>
      </c>
      <c r="BE41" s="192" t="n">
        <f aca="false">IF(Model!BC44=0,"",Model!BC44)</f>
        <v>883761.75</v>
      </c>
      <c r="BF41" s="192" t="n">
        <f aca="false">IF(Model!BD44=0,"",Model!BD44)</f>
        <v>802536.75</v>
      </c>
      <c r="BG41" s="192" t="n">
        <f aca="false">IF(Model!BE44=0,"",Model!BE44)</f>
        <v>707976.75</v>
      </c>
      <c r="BH41" s="192" t="n">
        <f aca="false">IF(Model!BF44=0,"",Model!BF44)</f>
        <v>605886.75</v>
      </c>
      <c r="BI41" s="192" t="n">
        <f aca="false">IF(Model!BG44=0,"",Model!BG44)</f>
        <v>501936.75</v>
      </c>
      <c r="BJ41" s="192" t="n">
        <f aca="false">IF(Model!BH44=0,"",Model!BH44)</f>
        <v>401121.75</v>
      </c>
      <c r="BK41" s="192" t="n">
        <f aca="false">IF(Model!BI44=0,"",Model!BI44)</f>
        <v>217168.5</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47392</v>
      </c>
      <c r="D42" s="190" t="n">
        <f aca="false">EDATE(Model!$E$2,Projects!$C$36+Projects!$D$36-2)</f>
        <v>47939</v>
      </c>
      <c r="E42" s="191" t="n">
        <f aca="false">Projects!$D$36</f>
        <v>19</v>
      </c>
      <c r="F42" s="189" t="n">
        <f aca="false">SUM(G42:DB42)</f>
        <v>15832962</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n">
        <f aca="false">IF(Model!AU45=0,"",Model!AU45)</f>
        <v>368954.1</v>
      </c>
      <c r="AX42" s="192" t="n">
        <f aca="false">IF(Model!AV45=0,"",Model!AV45)</f>
        <v>481346.1</v>
      </c>
      <c r="AY42" s="192" t="n">
        <f aca="false">IF(Model!AW45=0,"",Model!AW45)</f>
        <v>602324.1</v>
      </c>
      <c r="AZ42" s="192" t="n">
        <f aca="false">IF(Model!AX45=0,"",Model!AX45)</f>
        <v>727064.1</v>
      </c>
      <c r="BA42" s="192" t="n">
        <f aca="false">IF(Model!AY45=0,"",Model!AY45)</f>
        <v>849572.1</v>
      </c>
      <c r="BB42" s="192" t="n">
        <f aca="false">IF(Model!AZ45=0,"",Model!AZ45)</f>
        <v>963044.1</v>
      </c>
      <c r="BC42" s="192" t="n">
        <f aca="false">IF(Model!BA45=0,"",Model!BA45)</f>
        <v>1060514.1</v>
      </c>
      <c r="BD42" s="192" t="n">
        <f aca="false">IF(Model!BB45=0,"",Model!BB45)</f>
        <v>1135520.1</v>
      </c>
      <c r="BE42" s="192" t="n">
        <f aca="false">IF(Model!BC45=0,"",Model!BC45)</f>
        <v>1182824.1</v>
      </c>
      <c r="BF42" s="192" t="n">
        <f aca="false">IF(Model!BD45=0,"",Model!BD45)</f>
        <v>1198988.1</v>
      </c>
      <c r="BG42" s="192" t="n">
        <f aca="false">IF(Model!BE45=0,"",Model!BE45)</f>
        <v>1182824.1</v>
      </c>
      <c r="BH42" s="192" t="n">
        <f aca="false">IF(Model!BF45=0,"",Model!BF45)</f>
        <v>1135520.1</v>
      </c>
      <c r="BI42" s="192" t="n">
        <f aca="false">IF(Model!BG45=0,"",Model!BG45)</f>
        <v>1060514.1</v>
      </c>
      <c r="BJ42" s="192" t="n">
        <f aca="false">IF(Model!BH45=0,"",Model!BH45)</f>
        <v>963044.1</v>
      </c>
      <c r="BK42" s="192" t="n">
        <f aca="false">IF(Model!BI45=0,"",Model!BI45)</f>
        <v>849572.1</v>
      </c>
      <c r="BL42" s="192" t="n">
        <f aca="false">IF(Model!BJ45=0,"",Model!BJ45)</f>
        <v>727064.1</v>
      </c>
      <c r="BM42" s="192" t="n">
        <f aca="false">IF(Model!BK45=0,"",Model!BK45)</f>
        <v>602324.1</v>
      </c>
      <c r="BN42" s="192" t="n">
        <f aca="false">IF(Model!BL45=0,"",Model!BL45)</f>
        <v>481346.1</v>
      </c>
      <c r="BO42" s="192" t="n">
        <f aca="false">IF(Model!BM45=0,"",Model!BM45)</f>
        <v>260602.2</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47423</v>
      </c>
      <c r="D43" s="190" t="n">
        <f aca="false">EDATE(Model!$E$2,Projects!$C$37+Projects!$D$37-2)</f>
        <v>47969</v>
      </c>
      <c r="E43" s="191" t="n">
        <f aca="false">Projects!$D$37</f>
        <v>19</v>
      </c>
      <c r="F43" s="189" t="n">
        <f aca="false">SUM(G43:DB43)</f>
        <v>13194135</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n">
        <f aca="false">IF(Model!AV46=0,"",Model!AV46)</f>
        <v>307461.75</v>
      </c>
      <c r="AY43" s="192" t="n">
        <f aca="false">IF(Model!AW46=0,"",Model!AW46)</f>
        <v>401121.75</v>
      </c>
      <c r="AZ43" s="192" t="n">
        <f aca="false">IF(Model!AX46=0,"",Model!AX46)</f>
        <v>501936.75</v>
      </c>
      <c r="BA43" s="192" t="n">
        <f aca="false">IF(Model!AY46=0,"",Model!AY46)</f>
        <v>605886.75</v>
      </c>
      <c r="BB43" s="192" t="n">
        <f aca="false">IF(Model!AZ46=0,"",Model!AZ46)</f>
        <v>707976.75</v>
      </c>
      <c r="BC43" s="192" t="n">
        <f aca="false">IF(Model!BA46=0,"",Model!BA46)</f>
        <v>802536.75</v>
      </c>
      <c r="BD43" s="192" t="n">
        <f aca="false">IF(Model!BB46=0,"",Model!BB46)</f>
        <v>883761.75</v>
      </c>
      <c r="BE43" s="192" t="n">
        <f aca="false">IF(Model!BC46=0,"",Model!BC46)</f>
        <v>946266.75</v>
      </c>
      <c r="BF43" s="192" t="n">
        <f aca="false">IF(Model!BD46=0,"",Model!BD46)</f>
        <v>985686.75</v>
      </c>
      <c r="BG43" s="192" t="n">
        <f aca="false">IF(Model!BE46=0,"",Model!BE46)</f>
        <v>999156.75</v>
      </c>
      <c r="BH43" s="192" t="n">
        <f aca="false">IF(Model!BF46=0,"",Model!BF46)</f>
        <v>985686.75</v>
      </c>
      <c r="BI43" s="192" t="n">
        <f aca="false">IF(Model!BG46=0,"",Model!BG46)</f>
        <v>946266.75</v>
      </c>
      <c r="BJ43" s="192" t="n">
        <f aca="false">IF(Model!BH46=0,"",Model!BH46)</f>
        <v>883761.75</v>
      </c>
      <c r="BK43" s="192" t="n">
        <f aca="false">IF(Model!BI46=0,"",Model!BI46)</f>
        <v>802536.75</v>
      </c>
      <c r="BL43" s="192" t="n">
        <f aca="false">IF(Model!BJ46=0,"",Model!BJ46)</f>
        <v>707976.75</v>
      </c>
      <c r="BM43" s="192" t="n">
        <f aca="false">IF(Model!BK46=0,"",Model!BK46)</f>
        <v>605886.75</v>
      </c>
      <c r="BN43" s="192" t="n">
        <f aca="false">IF(Model!BL46=0,"",Model!BL46)</f>
        <v>501936.75</v>
      </c>
      <c r="BO43" s="192" t="n">
        <f aca="false">IF(Model!BM46=0,"",Model!BM46)</f>
        <v>401121.75</v>
      </c>
      <c r="BP43" s="192" t="n">
        <f aca="false">IF(Model!BN46=0,"",Model!BN46)</f>
        <v>217168.5</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47543</v>
      </c>
      <c r="D44" s="190" t="n">
        <f aca="false">EDATE(Model!$E$2,Projects!$C$38+Projects!$D$38-2)</f>
        <v>48092</v>
      </c>
      <c r="E44" s="191" t="n">
        <f aca="false">Projects!$D$38</f>
        <v>19</v>
      </c>
      <c r="F44" s="189" t="n">
        <f aca="false">SUM(G44:DB44)</f>
        <v>13194135</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n">
        <f aca="false">IF(Model!AZ47=0,"",Model!AZ47)</f>
        <v>307461.75</v>
      </c>
      <c r="BC44" s="192" t="n">
        <f aca="false">IF(Model!BA47=0,"",Model!BA47)</f>
        <v>401121.75</v>
      </c>
      <c r="BD44" s="192" t="n">
        <f aca="false">IF(Model!BB47=0,"",Model!BB47)</f>
        <v>501936.75</v>
      </c>
      <c r="BE44" s="192" t="n">
        <f aca="false">IF(Model!BC47=0,"",Model!BC47)</f>
        <v>605886.75</v>
      </c>
      <c r="BF44" s="192" t="n">
        <f aca="false">IF(Model!BD47=0,"",Model!BD47)</f>
        <v>707976.75</v>
      </c>
      <c r="BG44" s="192" t="n">
        <f aca="false">IF(Model!BE47=0,"",Model!BE47)</f>
        <v>802536.75</v>
      </c>
      <c r="BH44" s="192" t="n">
        <f aca="false">IF(Model!BF47=0,"",Model!BF47)</f>
        <v>883761.75</v>
      </c>
      <c r="BI44" s="192" t="n">
        <f aca="false">IF(Model!BG47=0,"",Model!BG47)</f>
        <v>946266.75</v>
      </c>
      <c r="BJ44" s="192" t="n">
        <f aca="false">IF(Model!BH47=0,"",Model!BH47)</f>
        <v>985686.75</v>
      </c>
      <c r="BK44" s="192" t="n">
        <f aca="false">IF(Model!BI47=0,"",Model!BI47)</f>
        <v>999156.75</v>
      </c>
      <c r="BL44" s="192" t="n">
        <f aca="false">IF(Model!BJ47=0,"",Model!BJ47)</f>
        <v>985686.75</v>
      </c>
      <c r="BM44" s="192" t="n">
        <f aca="false">IF(Model!BK47=0,"",Model!BK47)</f>
        <v>946266.75</v>
      </c>
      <c r="BN44" s="192" t="n">
        <f aca="false">IF(Model!BL47=0,"",Model!BL47)</f>
        <v>883761.75</v>
      </c>
      <c r="BO44" s="192" t="n">
        <f aca="false">IF(Model!BM47=0,"",Model!BM47)</f>
        <v>802536.75</v>
      </c>
      <c r="BP44" s="192" t="n">
        <f aca="false">IF(Model!BN47=0,"",Model!BN47)</f>
        <v>707976.75</v>
      </c>
      <c r="BQ44" s="192" t="n">
        <f aca="false">IF(Model!BO47=0,"",Model!BO47)</f>
        <v>605886.75</v>
      </c>
      <c r="BR44" s="192" t="n">
        <f aca="false">IF(Model!BP47=0,"",Model!BP47)</f>
        <v>501936.75</v>
      </c>
      <c r="BS44" s="192" t="n">
        <f aca="false">IF(Model!BQ47=0,"",Model!BQ47)</f>
        <v>401121.75</v>
      </c>
      <c r="BT44" s="192" t="n">
        <f aca="false">IF(Model!BR47=0,"",Model!BR47)</f>
        <v>217168.5</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47574</v>
      </c>
      <c r="D45" s="190" t="n">
        <f aca="false">EDATE(Model!$E$2,Projects!$C$39+Projects!$D$39-2)</f>
        <v>48122</v>
      </c>
      <c r="E45" s="191" t="n">
        <f aca="false">Projects!$D$39</f>
        <v>19</v>
      </c>
      <c r="F45" s="189" t="n">
        <f aca="false">SUM(G45:DB45)</f>
        <v>15832962</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n">
        <f aca="false">IF(Model!BA48=0,"",Model!BA48)</f>
        <v>368954.1</v>
      </c>
      <c r="BD45" s="192" t="n">
        <f aca="false">IF(Model!BB48=0,"",Model!BB48)</f>
        <v>481346.1</v>
      </c>
      <c r="BE45" s="192" t="n">
        <f aca="false">IF(Model!BC48=0,"",Model!BC48)</f>
        <v>602324.1</v>
      </c>
      <c r="BF45" s="192" t="n">
        <f aca="false">IF(Model!BD48=0,"",Model!BD48)</f>
        <v>727064.1</v>
      </c>
      <c r="BG45" s="192" t="n">
        <f aca="false">IF(Model!BE48=0,"",Model!BE48)</f>
        <v>849572.1</v>
      </c>
      <c r="BH45" s="192" t="n">
        <f aca="false">IF(Model!BF48=0,"",Model!BF48)</f>
        <v>963044.1</v>
      </c>
      <c r="BI45" s="192" t="n">
        <f aca="false">IF(Model!BG48=0,"",Model!BG48)</f>
        <v>1060514.1</v>
      </c>
      <c r="BJ45" s="192" t="n">
        <f aca="false">IF(Model!BH48=0,"",Model!BH48)</f>
        <v>1135520.1</v>
      </c>
      <c r="BK45" s="192" t="n">
        <f aca="false">IF(Model!BI48=0,"",Model!BI48)</f>
        <v>1182824.1</v>
      </c>
      <c r="BL45" s="192" t="n">
        <f aca="false">IF(Model!BJ48=0,"",Model!BJ48)</f>
        <v>1198988.1</v>
      </c>
      <c r="BM45" s="192" t="n">
        <f aca="false">IF(Model!BK48=0,"",Model!BK48)</f>
        <v>1182824.1</v>
      </c>
      <c r="BN45" s="192" t="n">
        <f aca="false">IF(Model!BL48=0,"",Model!BL48)</f>
        <v>1135520.1</v>
      </c>
      <c r="BO45" s="192" t="n">
        <f aca="false">IF(Model!BM48=0,"",Model!BM48)</f>
        <v>1060514.1</v>
      </c>
      <c r="BP45" s="192" t="n">
        <f aca="false">IF(Model!BN48=0,"",Model!BN48)</f>
        <v>963044.1</v>
      </c>
      <c r="BQ45" s="192" t="n">
        <f aca="false">IF(Model!BO48=0,"",Model!BO48)</f>
        <v>849572.1</v>
      </c>
      <c r="BR45" s="192" t="n">
        <f aca="false">IF(Model!BP48=0,"",Model!BP48)</f>
        <v>727064.1</v>
      </c>
      <c r="BS45" s="192" t="n">
        <f aca="false">IF(Model!BQ48=0,"",Model!BQ48)</f>
        <v>602324.1</v>
      </c>
      <c r="BT45" s="192" t="n">
        <f aca="false">IF(Model!BR48=0,"",Model!BR48)</f>
        <v>481346.1</v>
      </c>
      <c r="BU45" s="192" t="n">
        <f aca="false">IF(Model!BS48=0,"",Model!BS48)</f>
        <v>260602.2</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47604</v>
      </c>
      <c r="D46" s="190" t="n">
        <f aca="false">EDATE(Model!$E$2,Projects!$C$40+Projects!$D$40-2)</f>
        <v>48153</v>
      </c>
      <c r="E46" s="191" t="n">
        <f aca="false">Projects!$D$40</f>
        <v>19</v>
      </c>
      <c r="F46" s="189" t="n">
        <f aca="false">SUM(G46:DB46)</f>
        <v>13194135</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n">
        <f aca="false">IF(Model!BB49=0,"",Model!BB49)</f>
        <v>307461.75</v>
      </c>
      <c r="BE46" s="192" t="n">
        <f aca="false">IF(Model!BC49=0,"",Model!BC49)</f>
        <v>401121.75</v>
      </c>
      <c r="BF46" s="192" t="n">
        <f aca="false">IF(Model!BD49=0,"",Model!BD49)</f>
        <v>501936.75</v>
      </c>
      <c r="BG46" s="192" t="n">
        <f aca="false">IF(Model!BE49=0,"",Model!BE49)</f>
        <v>605886.75</v>
      </c>
      <c r="BH46" s="192" t="n">
        <f aca="false">IF(Model!BF49=0,"",Model!BF49)</f>
        <v>707976.75</v>
      </c>
      <c r="BI46" s="192" t="n">
        <f aca="false">IF(Model!BG49=0,"",Model!BG49)</f>
        <v>802536.75</v>
      </c>
      <c r="BJ46" s="192" t="n">
        <f aca="false">IF(Model!BH49=0,"",Model!BH49)</f>
        <v>883761.75</v>
      </c>
      <c r="BK46" s="192" t="n">
        <f aca="false">IF(Model!BI49=0,"",Model!BI49)</f>
        <v>946266.75</v>
      </c>
      <c r="BL46" s="192" t="n">
        <f aca="false">IF(Model!BJ49=0,"",Model!BJ49)</f>
        <v>985686.75</v>
      </c>
      <c r="BM46" s="192" t="n">
        <f aca="false">IF(Model!BK49=0,"",Model!BK49)</f>
        <v>999156.75</v>
      </c>
      <c r="BN46" s="192" t="n">
        <f aca="false">IF(Model!BL49=0,"",Model!BL49)</f>
        <v>985686.75</v>
      </c>
      <c r="BO46" s="192" t="n">
        <f aca="false">IF(Model!BM49=0,"",Model!BM49)</f>
        <v>946266.75</v>
      </c>
      <c r="BP46" s="192" t="n">
        <f aca="false">IF(Model!BN49=0,"",Model!BN49)</f>
        <v>883761.75</v>
      </c>
      <c r="BQ46" s="192" t="n">
        <f aca="false">IF(Model!BO49=0,"",Model!BO49)</f>
        <v>802536.75</v>
      </c>
      <c r="BR46" s="192" t="n">
        <f aca="false">IF(Model!BP49=0,"",Model!BP49)</f>
        <v>707976.75</v>
      </c>
      <c r="BS46" s="192" t="n">
        <f aca="false">IF(Model!BQ49=0,"",Model!BQ49)</f>
        <v>605886.75</v>
      </c>
      <c r="BT46" s="192" t="n">
        <f aca="false">IF(Model!BR49=0,"",Model!BR49)</f>
        <v>501936.75</v>
      </c>
      <c r="BU46" s="192" t="n">
        <f aca="false">IF(Model!BS49=0,"",Model!BS49)</f>
        <v>401121.75</v>
      </c>
      <c r="BV46" s="192" t="n">
        <f aca="false">IF(Model!BT49=0,"",Model!BT49)</f>
        <v>217168.5</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47635</v>
      </c>
      <c r="D47" s="190" t="n">
        <f aca="false">EDATE(Model!$E$2,Projects!$C$41+Projects!$D$41-2)</f>
        <v>48183</v>
      </c>
      <c r="E47" s="191" t="n">
        <f aca="false">Projects!$D$41</f>
        <v>19</v>
      </c>
      <c r="F47" s="189" t="n">
        <f aca="false">SUM(G47:DB47)</f>
        <v>13194135</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n">
        <f aca="false">IF(Model!BC50=0,"",Model!BC50)</f>
        <v>307461.75</v>
      </c>
      <c r="BF47" s="192" t="n">
        <f aca="false">IF(Model!BD50=0,"",Model!BD50)</f>
        <v>401121.75</v>
      </c>
      <c r="BG47" s="192" t="n">
        <f aca="false">IF(Model!BE50=0,"",Model!BE50)</f>
        <v>501936.75</v>
      </c>
      <c r="BH47" s="192" t="n">
        <f aca="false">IF(Model!BF50=0,"",Model!BF50)</f>
        <v>605886.75</v>
      </c>
      <c r="BI47" s="192" t="n">
        <f aca="false">IF(Model!BG50=0,"",Model!BG50)</f>
        <v>707976.75</v>
      </c>
      <c r="BJ47" s="192" t="n">
        <f aca="false">IF(Model!BH50=0,"",Model!BH50)</f>
        <v>802536.75</v>
      </c>
      <c r="BK47" s="192" t="n">
        <f aca="false">IF(Model!BI50=0,"",Model!BI50)</f>
        <v>883761.75</v>
      </c>
      <c r="BL47" s="192" t="n">
        <f aca="false">IF(Model!BJ50=0,"",Model!BJ50)</f>
        <v>946266.75</v>
      </c>
      <c r="BM47" s="192" t="n">
        <f aca="false">IF(Model!BK50=0,"",Model!BK50)</f>
        <v>985686.75</v>
      </c>
      <c r="BN47" s="192" t="n">
        <f aca="false">IF(Model!BL50=0,"",Model!BL50)</f>
        <v>999156.75</v>
      </c>
      <c r="BO47" s="192" t="n">
        <f aca="false">IF(Model!BM50=0,"",Model!BM50)</f>
        <v>985686.75</v>
      </c>
      <c r="BP47" s="192" t="n">
        <f aca="false">IF(Model!BN50=0,"",Model!BN50)</f>
        <v>946266.75</v>
      </c>
      <c r="BQ47" s="192" t="n">
        <f aca="false">IF(Model!BO50=0,"",Model!BO50)</f>
        <v>883761.75</v>
      </c>
      <c r="BR47" s="192" t="n">
        <f aca="false">IF(Model!BP50=0,"",Model!BP50)</f>
        <v>802536.75</v>
      </c>
      <c r="BS47" s="192" t="n">
        <f aca="false">IF(Model!BQ50=0,"",Model!BQ50)</f>
        <v>707976.75</v>
      </c>
      <c r="BT47" s="192" t="n">
        <f aca="false">IF(Model!BR50=0,"",Model!BR50)</f>
        <v>605886.75</v>
      </c>
      <c r="BU47" s="192" t="n">
        <f aca="false">IF(Model!BS50=0,"",Model!BS50)</f>
        <v>501936.75</v>
      </c>
      <c r="BV47" s="192" t="n">
        <f aca="false">IF(Model!BT50=0,"",Model!BT50)</f>
        <v>401121.75</v>
      </c>
      <c r="BW47" s="192" t="n">
        <f aca="false">IF(Model!BU50=0,"",Model!BU50)</f>
        <v>217168.5</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47665</v>
      </c>
      <c r="D48" s="190" t="n">
        <f aca="false">EDATE(Model!$E$2,Projects!$C$42+Projects!$D$42-2)</f>
        <v>48214</v>
      </c>
      <c r="E48" s="191" t="n">
        <f aca="false">Projects!$D$42</f>
        <v>19</v>
      </c>
      <c r="F48" s="189" t="n">
        <f aca="false">SUM(G48:DB48)</f>
        <v>15832962</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n">
        <f aca="false">IF(Model!BD51=0,"",Model!BD51)</f>
        <v>368954.1</v>
      </c>
      <c r="BG48" s="192" t="n">
        <f aca="false">IF(Model!BE51=0,"",Model!BE51)</f>
        <v>481346.1</v>
      </c>
      <c r="BH48" s="192" t="n">
        <f aca="false">IF(Model!BF51=0,"",Model!BF51)</f>
        <v>602324.1</v>
      </c>
      <c r="BI48" s="192" t="n">
        <f aca="false">IF(Model!BG51=0,"",Model!BG51)</f>
        <v>727064.1</v>
      </c>
      <c r="BJ48" s="192" t="n">
        <f aca="false">IF(Model!BH51=0,"",Model!BH51)</f>
        <v>849572.1</v>
      </c>
      <c r="BK48" s="192" t="n">
        <f aca="false">IF(Model!BI51=0,"",Model!BI51)</f>
        <v>963044.1</v>
      </c>
      <c r="BL48" s="192" t="n">
        <f aca="false">IF(Model!BJ51=0,"",Model!BJ51)</f>
        <v>1060514.1</v>
      </c>
      <c r="BM48" s="192" t="n">
        <f aca="false">IF(Model!BK51=0,"",Model!BK51)</f>
        <v>1135520.1</v>
      </c>
      <c r="BN48" s="192" t="n">
        <f aca="false">IF(Model!BL51=0,"",Model!BL51)</f>
        <v>1182824.1</v>
      </c>
      <c r="BO48" s="192" t="n">
        <f aca="false">IF(Model!BM51=0,"",Model!BM51)</f>
        <v>1198988.1</v>
      </c>
      <c r="BP48" s="192" t="n">
        <f aca="false">IF(Model!BN51=0,"",Model!BN51)</f>
        <v>1182824.1</v>
      </c>
      <c r="BQ48" s="192" t="n">
        <f aca="false">IF(Model!BO51=0,"",Model!BO51)</f>
        <v>1135520.1</v>
      </c>
      <c r="BR48" s="192" t="n">
        <f aca="false">IF(Model!BP51=0,"",Model!BP51)</f>
        <v>1060514.1</v>
      </c>
      <c r="BS48" s="192" t="n">
        <f aca="false">IF(Model!BQ51=0,"",Model!BQ51)</f>
        <v>963044.1</v>
      </c>
      <c r="BT48" s="192" t="n">
        <f aca="false">IF(Model!BR51=0,"",Model!BR51)</f>
        <v>849572.1</v>
      </c>
      <c r="BU48" s="192" t="n">
        <f aca="false">IF(Model!BS51=0,"",Model!BS51)</f>
        <v>727064.1</v>
      </c>
      <c r="BV48" s="192" t="n">
        <f aca="false">IF(Model!BT51=0,"",Model!BT51)</f>
        <v>602324.1</v>
      </c>
      <c r="BW48" s="192" t="n">
        <f aca="false">IF(Model!BU51=0,"",Model!BU51)</f>
        <v>481346.1</v>
      </c>
      <c r="BX48" s="192" t="n">
        <f aca="false">IF(Model!BV51=0,"",Model!BV51)</f>
        <v>260602.2</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47696</v>
      </c>
      <c r="D49" s="190" t="n">
        <f aca="false">EDATE(Model!$E$2,Projects!$C$43+Projects!$D$43-2)</f>
        <v>48245</v>
      </c>
      <c r="E49" s="191" t="n">
        <f aca="false">Projects!$D$43</f>
        <v>19</v>
      </c>
      <c r="F49" s="189" t="n">
        <f aca="false">SUM(G49:DB49)</f>
        <v>13194135</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n">
        <f aca="false">IF(Model!BE52=0,"",Model!BE52)</f>
        <v>307461.75</v>
      </c>
      <c r="BH49" s="192" t="n">
        <f aca="false">IF(Model!BF52=0,"",Model!BF52)</f>
        <v>401121.75</v>
      </c>
      <c r="BI49" s="192" t="n">
        <f aca="false">IF(Model!BG52=0,"",Model!BG52)</f>
        <v>501936.75</v>
      </c>
      <c r="BJ49" s="192" t="n">
        <f aca="false">IF(Model!BH52=0,"",Model!BH52)</f>
        <v>605886.75</v>
      </c>
      <c r="BK49" s="192" t="n">
        <f aca="false">IF(Model!BI52=0,"",Model!BI52)</f>
        <v>707976.75</v>
      </c>
      <c r="BL49" s="192" t="n">
        <f aca="false">IF(Model!BJ52=0,"",Model!BJ52)</f>
        <v>802536.75</v>
      </c>
      <c r="BM49" s="192" t="n">
        <f aca="false">IF(Model!BK52=0,"",Model!BK52)</f>
        <v>883761.75</v>
      </c>
      <c r="BN49" s="192" t="n">
        <f aca="false">IF(Model!BL52=0,"",Model!BL52)</f>
        <v>946266.75</v>
      </c>
      <c r="BO49" s="192" t="n">
        <f aca="false">IF(Model!BM52=0,"",Model!BM52)</f>
        <v>985686.75</v>
      </c>
      <c r="BP49" s="192" t="n">
        <f aca="false">IF(Model!BN52=0,"",Model!BN52)</f>
        <v>999156.75</v>
      </c>
      <c r="BQ49" s="192" t="n">
        <f aca="false">IF(Model!BO52=0,"",Model!BO52)</f>
        <v>985686.75</v>
      </c>
      <c r="BR49" s="192" t="n">
        <f aca="false">IF(Model!BP52=0,"",Model!BP52)</f>
        <v>946266.75</v>
      </c>
      <c r="BS49" s="192" t="n">
        <f aca="false">IF(Model!BQ52=0,"",Model!BQ52)</f>
        <v>883761.75</v>
      </c>
      <c r="BT49" s="192" t="n">
        <f aca="false">IF(Model!BR52=0,"",Model!BR52)</f>
        <v>802536.75</v>
      </c>
      <c r="BU49" s="192" t="n">
        <f aca="false">IF(Model!BS52=0,"",Model!BS52)</f>
        <v>707976.75</v>
      </c>
      <c r="BV49" s="192" t="n">
        <f aca="false">IF(Model!BT52=0,"",Model!BT52)</f>
        <v>605886.75</v>
      </c>
      <c r="BW49" s="192" t="n">
        <f aca="false">IF(Model!BU52=0,"",Model!BU52)</f>
        <v>501936.75</v>
      </c>
      <c r="BX49" s="192" t="n">
        <f aca="false">IF(Model!BV52=0,"",Model!BV52)</f>
        <v>401121.75</v>
      </c>
      <c r="BY49" s="192" t="n">
        <f aca="false">IF(Model!BW52=0,"",Model!BW52)</f>
        <v>217168.5</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47727</v>
      </c>
      <c r="D50" s="190" t="n">
        <f aca="false">EDATE(Model!$E$2,Projects!$C$44+Projects!$D$44-2)</f>
        <v>48274</v>
      </c>
      <c r="E50" s="191" t="n">
        <f aca="false">Projects!$D$44</f>
        <v>19</v>
      </c>
      <c r="F50" s="189" t="n">
        <f aca="false">SUM(G50:DB50)</f>
        <v>13194135</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n">
        <f aca="false">IF(Model!BF53=0,"",Model!BF53)</f>
        <v>307461.75</v>
      </c>
      <c r="BI50" s="192" t="n">
        <f aca="false">IF(Model!BG53=0,"",Model!BG53)</f>
        <v>401121.75</v>
      </c>
      <c r="BJ50" s="192" t="n">
        <f aca="false">IF(Model!BH53=0,"",Model!BH53)</f>
        <v>501936.75</v>
      </c>
      <c r="BK50" s="192" t="n">
        <f aca="false">IF(Model!BI53=0,"",Model!BI53)</f>
        <v>605886.75</v>
      </c>
      <c r="BL50" s="192" t="n">
        <f aca="false">IF(Model!BJ53=0,"",Model!BJ53)</f>
        <v>707976.75</v>
      </c>
      <c r="BM50" s="192" t="n">
        <f aca="false">IF(Model!BK53=0,"",Model!BK53)</f>
        <v>802536.75</v>
      </c>
      <c r="BN50" s="192" t="n">
        <f aca="false">IF(Model!BL53=0,"",Model!BL53)</f>
        <v>883761.75</v>
      </c>
      <c r="BO50" s="192" t="n">
        <f aca="false">IF(Model!BM53=0,"",Model!BM53)</f>
        <v>946266.75</v>
      </c>
      <c r="BP50" s="192" t="n">
        <f aca="false">IF(Model!BN53=0,"",Model!BN53)</f>
        <v>985686.75</v>
      </c>
      <c r="BQ50" s="192" t="n">
        <f aca="false">IF(Model!BO53=0,"",Model!BO53)</f>
        <v>999156.75</v>
      </c>
      <c r="BR50" s="192" t="n">
        <f aca="false">IF(Model!BP53=0,"",Model!BP53)</f>
        <v>985686.75</v>
      </c>
      <c r="BS50" s="192" t="n">
        <f aca="false">IF(Model!BQ53=0,"",Model!BQ53)</f>
        <v>946266.75</v>
      </c>
      <c r="BT50" s="192" t="n">
        <f aca="false">IF(Model!BR53=0,"",Model!BR53)</f>
        <v>883761.75</v>
      </c>
      <c r="BU50" s="192" t="n">
        <f aca="false">IF(Model!BS53=0,"",Model!BS53)</f>
        <v>802536.75</v>
      </c>
      <c r="BV50" s="192" t="n">
        <f aca="false">IF(Model!BT53=0,"",Model!BT53)</f>
        <v>707976.75</v>
      </c>
      <c r="BW50" s="192" t="n">
        <f aca="false">IF(Model!BU53=0,"",Model!BU53)</f>
        <v>605886.75</v>
      </c>
      <c r="BX50" s="192" t="n">
        <f aca="false">IF(Model!BV53=0,"",Model!BV53)</f>
        <v>501936.75</v>
      </c>
      <c r="BY50" s="192" t="n">
        <f aca="false">IF(Model!BW53=0,"",Model!BW53)</f>
        <v>401121.75</v>
      </c>
      <c r="BZ50" s="192" t="n">
        <f aca="false">IF(Model!BX53=0,"",Model!BX53)</f>
        <v>217168.5</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47757</v>
      </c>
      <c r="D51" s="190" t="n">
        <f aca="false">EDATE(Model!$E$2,Projects!$C$45+Projects!$D$45-2)</f>
        <v>48305</v>
      </c>
      <c r="E51" s="191" t="n">
        <f aca="false">Projects!$D$45</f>
        <v>19</v>
      </c>
      <c r="F51" s="189" t="n">
        <f aca="false">SUM(G51:DB51)</f>
        <v>15832962</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n">
        <f aca="false">IF(Model!BG54=0,"",Model!BG54)</f>
        <v>368954.1</v>
      </c>
      <c r="BJ51" s="192" t="n">
        <f aca="false">IF(Model!BH54=0,"",Model!BH54)</f>
        <v>481346.1</v>
      </c>
      <c r="BK51" s="192" t="n">
        <f aca="false">IF(Model!BI54=0,"",Model!BI54)</f>
        <v>602324.1</v>
      </c>
      <c r="BL51" s="192" t="n">
        <f aca="false">IF(Model!BJ54=0,"",Model!BJ54)</f>
        <v>727064.1</v>
      </c>
      <c r="BM51" s="192" t="n">
        <f aca="false">IF(Model!BK54=0,"",Model!BK54)</f>
        <v>849572.1</v>
      </c>
      <c r="BN51" s="192" t="n">
        <f aca="false">IF(Model!BL54=0,"",Model!BL54)</f>
        <v>963044.1</v>
      </c>
      <c r="BO51" s="192" t="n">
        <f aca="false">IF(Model!BM54=0,"",Model!BM54)</f>
        <v>1060514.1</v>
      </c>
      <c r="BP51" s="192" t="n">
        <f aca="false">IF(Model!BN54=0,"",Model!BN54)</f>
        <v>1135520.1</v>
      </c>
      <c r="BQ51" s="192" t="n">
        <f aca="false">IF(Model!BO54=0,"",Model!BO54)</f>
        <v>1182824.1</v>
      </c>
      <c r="BR51" s="192" t="n">
        <f aca="false">IF(Model!BP54=0,"",Model!BP54)</f>
        <v>1198988.1</v>
      </c>
      <c r="BS51" s="192" t="n">
        <f aca="false">IF(Model!BQ54=0,"",Model!BQ54)</f>
        <v>1182824.1</v>
      </c>
      <c r="BT51" s="192" t="n">
        <f aca="false">IF(Model!BR54=0,"",Model!BR54)</f>
        <v>1135520.1</v>
      </c>
      <c r="BU51" s="192" t="n">
        <f aca="false">IF(Model!BS54=0,"",Model!BS54)</f>
        <v>1060514.1</v>
      </c>
      <c r="BV51" s="192" t="n">
        <f aca="false">IF(Model!BT54=0,"",Model!BT54)</f>
        <v>963044.1</v>
      </c>
      <c r="BW51" s="192" t="n">
        <f aca="false">IF(Model!BU54=0,"",Model!BU54)</f>
        <v>849572.1</v>
      </c>
      <c r="BX51" s="192" t="n">
        <f aca="false">IF(Model!BV54=0,"",Model!BV54)</f>
        <v>727064.1</v>
      </c>
      <c r="BY51" s="192" t="n">
        <f aca="false">IF(Model!BW54=0,"",Model!BW54)</f>
        <v>602324.1</v>
      </c>
      <c r="BZ51" s="192" t="n">
        <f aca="false">IF(Model!BX54=0,"",Model!BX54)</f>
        <v>481346.1</v>
      </c>
      <c r="CA51" s="192" t="n">
        <f aca="false">IF(Model!BY54=0,"",Model!BY54)</f>
        <v>260602.2</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47788</v>
      </c>
      <c r="D52" s="190" t="n">
        <f aca="false">EDATE(Model!$E$2,Projects!$C$46+Projects!$D$46-2)</f>
        <v>48335</v>
      </c>
      <c r="E52" s="191" t="n">
        <f aca="false">Projects!$D$46</f>
        <v>19</v>
      </c>
      <c r="F52" s="189" t="n">
        <f aca="false">SUM(G52:DB52)</f>
        <v>13194135</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n">
        <f aca="false">IF(Model!BH55=0,"",Model!BH55)</f>
        <v>307461.75</v>
      </c>
      <c r="BK52" s="192" t="n">
        <f aca="false">IF(Model!BI55=0,"",Model!BI55)</f>
        <v>401121.75</v>
      </c>
      <c r="BL52" s="192" t="n">
        <f aca="false">IF(Model!BJ55=0,"",Model!BJ55)</f>
        <v>501936.75</v>
      </c>
      <c r="BM52" s="192" t="n">
        <f aca="false">IF(Model!BK55=0,"",Model!BK55)</f>
        <v>605886.75</v>
      </c>
      <c r="BN52" s="192" t="n">
        <f aca="false">IF(Model!BL55=0,"",Model!BL55)</f>
        <v>707976.75</v>
      </c>
      <c r="BO52" s="192" t="n">
        <f aca="false">IF(Model!BM55=0,"",Model!BM55)</f>
        <v>802536.75</v>
      </c>
      <c r="BP52" s="192" t="n">
        <f aca="false">IF(Model!BN55=0,"",Model!BN55)</f>
        <v>883761.75</v>
      </c>
      <c r="BQ52" s="192" t="n">
        <f aca="false">IF(Model!BO55=0,"",Model!BO55)</f>
        <v>946266.75</v>
      </c>
      <c r="BR52" s="192" t="n">
        <f aca="false">IF(Model!BP55=0,"",Model!BP55)</f>
        <v>985686.75</v>
      </c>
      <c r="BS52" s="192" t="n">
        <f aca="false">IF(Model!BQ55=0,"",Model!BQ55)</f>
        <v>999156.75</v>
      </c>
      <c r="BT52" s="192" t="n">
        <f aca="false">IF(Model!BR55=0,"",Model!BR55)</f>
        <v>985686.75</v>
      </c>
      <c r="BU52" s="192" t="n">
        <f aca="false">IF(Model!BS55=0,"",Model!BS55)</f>
        <v>946266.75</v>
      </c>
      <c r="BV52" s="192" t="n">
        <f aca="false">IF(Model!BT55=0,"",Model!BT55)</f>
        <v>883761.75</v>
      </c>
      <c r="BW52" s="192" t="n">
        <f aca="false">IF(Model!BU55=0,"",Model!BU55)</f>
        <v>802536.75</v>
      </c>
      <c r="BX52" s="192" t="n">
        <f aca="false">IF(Model!BV55=0,"",Model!BV55)</f>
        <v>707976.75</v>
      </c>
      <c r="BY52" s="192" t="n">
        <f aca="false">IF(Model!BW55=0,"",Model!BW55)</f>
        <v>605886.75</v>
      </c>
      <c r="BZ52" s="192" t="n">
        <f aca="false">IF(Model!BX55=0,"",Model!BX55)</f>
        <v>501936.75</v>
      </c>
      <c r="CA52" s="192" t="n">
        <f aca="false">IF(Model!BY55=0,"",Model!BY55)</f>
        <v>401121.75</v>
      </c>
      <c r="CB52" s="192" t="n">
        <f aca="false">IF(Model!BZ55=0,"",Model!BZ55)</f>
        <v>217168.5</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601</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1102258.6797</v>
      </c>
      <c r="AE53" s="193" t="n">
        <f aca="false">SUM(AE28:AE52)</f>
        <v>1288868.6697</v>
      </c>
      <c r="AF53" s="193" t="n">
        <f aca="false">SUM(AF28:AF52)</f>
        <v>1466959.5717</v>
      </c>
      <c r="AG53" s="193" t="n">
        <f aca="false">SUM(AG28:AG52)</f>
        <v>1627718.9397</v>
      </c>
      <c r="AH53" s="193" t="n">
        <f aca="false">SUM(AH28:AH52)</f>
        <v>1762534.9277</v>
      </c>
      <c r="AI53" s="193" t="n">
        <f aca="false">SUM(AI28:AI52)</f>
        <v>2232653.0397</v>
      </c>
      <c r="AJ53" s="193" t="n">
        <f aca="false">SUM(AJ28:AJ52)</f>
        <v>2775449.7717</v>
      </c>
      <c r="AK53" s="193" t="n">
        <f aca="false">SUM(AK28:AK52)</f>
        <v>3334174.6197</v>
      </c>
      <c r="AL53" s="193" t="n">
        <f aca="false">SUM(AL28:AL52)</f>
        <v>3954100.3797</v>
      </c>
      <c r="AM53" s="193" t="n">
        <f aca="false">SUM(AM28:AM52)</f>
        <v>4633046.5057</v>
      </c>
      <c r="AN53" s="193" t="n">
        <f aca="false">SUM(AN28:AN52)</f>
        <v>5365466.2197</v>
      </c>
      <c r="AO53" s="193" t="n">
        <f aca="false">SUM(AO28:AO52)</f>
        <v>6203590.7397</v>
      </c>
      <c r="AP53" s="193" t="n">
        <f aca="false">SUM(AP28:AP52)</f>
        <v>7030211.4637</v>
      </c>
      <c r="AQ53" s="193" t="n">
        <f aca="false">SUM(AQ28:AQ52)</f>
        <v>7790891.9974</v>
      </c>
      <c r="AR53" s="193" t="n">
        <f aca="false">SUM(AR28:AR52)</f>
        <v>8571003</v>
      </c>
      <c r="AS53" s="193" t="n">
        <f aca="false">SUM(AS28:AS52)</f>
        <v>9473331.75</v>
      </c>
      <c r="AT53" s="193" t="n">
        <f aca="false">SUM(AT28:AT52)</f>
        <v>10015893.75</v>
      </c>
      <c r="AU53" s="193" t="n">
        <f aca="false">SUM(AU28:AU52)</f>
        <v>10394205.75</v>
      </c>
      <c r="AV53" s="193" t="n">
        <f aca="false">SUM(AV28:AV52)</f>
        <v>10478234.85</v>
      </c>
      <c r="AW53" s="193" t="n">
        <f aca="false">SUM(AW28:AW52)</f>
        <v>10680315.75</v>
      </c>
      <c r="AX53" s="193" t="n">
        <f aca="false">SUM(AX28:AX52)</f>
        <v>10977688.5</v>
      </c>
      <c r="AY53" s="193" t="n">
        <f aca="false">SUM(AY28:AY52)</f>
        <v>10860325.5</v>
      </c>
      <c r="AZ53" s="193" t="n">
        <f aca="false">SUM(AZ28:AZ52)</f>
        <v>10562287.5</v>
      </c>
      <c r="BA53" s="193" t="n">
        <f aca="false">SUM(BA28:BA52)</f>
        <v>9992886.6</v>
      </c>
      <c r="BB53" s="193" t="n">
        <f aca="false">SUM(BB28:BB52)</f>
        <v>9431060.25</v>
      </c>
      <c r="BC53" s="193" t="n">
        <f aca="false">SUM(BC28:BC52)</f>
        <v>9016317.9</v>
      </c>
      <c r="BD53" s="193" t="n">
        <f aca="false">SUM(BD28:BD52)</f>
        <v>8674611.9</v>
      </c>
      <c r="BE53" s="193" t="n">
        <f aca="false">SUM(BE28:BE52)</f>
        <v>8427168.9</v>
      </c>
      <c r="BF53" s="193" t="n">
        <f aca="false">SUM(BF28:BF52)</f>
        <v>8350175.25</v>
      </c>
      <c r="BG53" s="193" t="n">
        <f aca="false">SUM(BG28:BG52)</f>
        <v>8329422.6</v>
      </c>
      <c r="BH53" s="193" t="n">
        <f aca="false">SUM(BH28:BH52)</f>
        <v>8419284.9</v>
      </c>
      <c r="BI53" s="193" t="n">
        <f aca="false">SUM(BI28:BI52)</f>
        <v>8723603.25</v>
      </c>
      <c r="BJ53" s="193" t="n">
        <f aca="false">SUM(BJ28:BJ52)</f>
        <v>9062238.6</v>
      </c>
      <c r="BK53" s="193" t="n">
        <f aca="false">SUM(BK28:BK52)</f>
        <v>9161640.15</v>
      </c>
      <c r="BL53" s="193" t="n">
        <f aca="false">SUM(BL28:BL52)</f>
        <v>9351697.65</v>
      </c>
      <c r="BM53" s="193" t="n">
        <f aca="false">SUM(BM28:BM52)</f>
        <v>9599422.65</v>
      </c>
      <c r="BN53" s="193" t="n">
        <f aca="false">SUM(BN28:BN52)</f>
        <v>9671281.65</v>
      </c>
      <c r="BO53" s="193" t="n">
        <f aca="false">SUM(BO28:BO52)</f>
        <v>9450720.75</v>
      </c>
      <c r="BP53" s="193" t="n">
        <f aca="false">SUM(BP28:BP52)</f>
        <v>8905167.3</v>
      </c>
      <c r="BQ53" s="193" t="n">
        <f aca="false">SUM(BQ28:BQ52)</f>
        <v>8391211.8</v>
      </c>
      <c r="BR53" s="193" t="n">
        <f aca="false">SUM(BR28:BR52)</f>
        <v>7916656.8</v>
      </c>
      <c r="BS53" s="193" t="n">
        <f aca="false">SUM(BS28:BS52)</f>
        <v>7292362.8</v>
      </c>
      <c r="BT53" s="193" t="n">
        <f aca="false">SUM(BT28:BT52)</f>
        <v>6463415.55</v>
      </c>
      <c r="BU53" s="193" t="n">
        <f aca="false">SUM(BU28:BU52)</f>
        <v>5408019.15</v>
      </c>
      <c r="BV53" s="193" t="n">
        <f aca="false">SUM(BV28:BV52)</f>
        <v>4381283.7</v>
      </c>
      <c r="BW53" s="193" t="n">
        <f aca="false">SUM(BW28:BW52)</f>
        <v>3458446.95</v>
      </c>
      <c r="BX53" s="193" t="n">
        <f aca="false">SUM(BX28:BX52)</f>
        <v>2598701.55</v>
      </c>
      <c r="BY53" s="193" t="n">
        <f aca="false">SUM(BY28:BY52)</f>
        <v>1826501.1</v>
      </c>
      <c r="BZ53" s="193" t="n">
        <f aca="false">SUM(BZ28:BZ52)</f>
        <v>1200451.35</v>
      </c>
      <c r="CA53" s="193" t="n">
        <f aca="false">SUM(CA28:CA52)</f>
        <v>661723.95</v>
      </c>
      <c r="CB53" s="193" t="n">
        <f aca="false">SUM(CB28:CB52)</f>
        <v>217168.5</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602</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2</v>
      </c>
      <c r="AE54" s="194" t="n">
        <f aca="false">COUNT(AE28:AE52)</f>
        <v>2</v>
      </c>
      <c r="AF54" s="194" t="n">
        <f aca="false">COUNT(AF28:AF52)</f>
        <v>2</v>
      </c>
      <c r="AG54" s="194" t="n">
        <f aca="false">COUNT(AG28:AG52)</f>
        <v>2</v>
      </c>
      <c r="AH54" s="194" t="n">
        <f aca="false">COUNT(AH28:AH52)</f>
        <v>2</v>
      </c>
      <c r="AI54" s="194" t="n">
        <f aca="false">COUNT(AI28:AI52)</f>
        <v>3</v>
      </c>
      <c r="AJ54" s="194" t="n">
        <f aca="false">COUNT(AJ28:AJ52)</f>
        <v>4</v>
      </c>
      <c r="AK54" s="194" t="n">
        <f aca="false">COUNT(AK28:AK52)</f>
        <v>5</v>
      </c>
      <c r="AL54" s="194" t="n">
        <f aca="false">COUNT(AL28:AL52)</f>
        <v>6</v>
      </c>
      <c r="AM54" s="194" t="n">
        <f aca="false">COUNT(AM28:AM52)</f>
        <v>7</v>
      </c>
      <c r="AN54" s="194" t="n">
        <f aca="false">COUNT(AN28:AN52)</f>
        <v>8</v>
      </c>
      <c r="AO54" s="194" t="n">
        <f aca="false">COUNT(AO28:AO52)</f>
        <v>9</v>
      </c>
      <c r="AP54" s="194" t="n">
        <f aca="false">COUNT(AP28:AP52)</f>
        <v>10</v>
      </c>
      <c r="AQ54" s="194" t="n">
        <f aca="false">COUNT(AQ28:AQ52)</f>
        <v>11</v>
      </c>
      <c r="AR54" s="194" t="n">
        <f aca="false">COUNT(AR28:AR52)</f>
        <v>11</v>
      </c>
      <c r="AS54" s="194" t="n">
        <f aca="false">COUNT(AS28:AS52)</f>
        <v>12</v>
      </c>
      <c r="AT54" s="194" t="n">
        <f aca="false">COUNT(AT28:AT52)</f>
        <v>12</v>
      </c>
      <c r="AU54" s="194" t="n">
        <f aca="false">COUNT(AU28:AU52)</f>
        <v>12</v>
      </c>
      <c r="AV54" s="194" t="n">
        <f aca="false">COUNT(AV28:AV52)</f>
        <v>12</v>
      </c>
      <c r="AW54" s="194" t="n">
        <f aca="false">COUNT(AW28:AW52)</f>
        <v>12</v>
      </c>
      <c r="AX54" s="194" t="n">
        <f aca="false">COUNT(AX28:AX52)</f>
        <v>13</v>
      </c>
      <c r="AY54" s="194" t="n">
        <f aca="false">COUNT(AY28:AY52)</f>
        <v>13</v>
      </c>
      <c r="AZ54" s="194" t="n">
        <f aca="false">COUNT(AZ28:AZ52)</f>
        <v>13</v>
      </c>
      <c r="BA54" s="194" t="n">
        <f aca="false">COUNT(BA28:BA52)</f>
        <v>13</v>
      </c>
      <c r="BB54" s="194" t="n">
        <f aca="false">COUNT(BB28:BB52)</f>
        <v>13</v>
      </c>
      <c r="BC54" s="194" t="n">
        <f aca="false">COUNT(BC28:BC52)</f>
        <v>13</v>
      </c>
      <c r="BD54" s="194" t="n">
        <f aca="false">COUNT(BD28:BD52)</f>
        <v>13</v>
      </c>
      <c r="BE54" s="194" t="n">
        <f aca="false">COUNT(BE28:BE52)</f>
        <v>13</v>
      </c>
      <c r="BF54" s="194" t="n">
        <f aca="false">COUNT(BF28:BF52)</f>
        <v>13</v>
      </c>
      <c r="BG54" s="194" t="n">
        <f aca="false">COUNT(BG28:BG52)</f>
        <v>13</v>
      </c>
      <c r="BH54" s="194" t="n">
        <f aca="false">COUNT(BH28:BH52)</f>
        <v>13</v>
      </c>
      <c r="BI54" s="194" t="n">
        <f aca="false">COUNT(BI28:BI52)</f>
        <v>13</v>
      </c>
      <c r="BJ54" s="194" t="n">
        <f aca="false">COUNT(BJ28:BJ52)</f>
        <v>13</v>
      </c>
      <c r="BK54" s="194" t="n">
        <f aca="false">COUNT(BK28:BK52)</f>
        <v>12</v>
      </c>
      <c r="BL54" s="194" t="n">
        <f aca="false">COUNT(BL28:BL52)</f>
        <v>11</v>
      </c>
      <c r="BM54" s="194" t="n">
        <f aca="false">COUNT(BM28:BM52)</f>
        <v>11</v>
      </c>
      <c r="BN54" s="194" t="n">
        <f aca="false">COUNT(BN28:BN52)</f>
        <v>11</v>
      </c>
      <c r="BO54" s="194" t="n">
        <f aca="false">COUNT(BO28:BO52)</f>
        <v>11</v>
      </c>
      <c r="BP54" s="194" t="n">
        <f aca="false">COUNT(BP28:BP52)</f>
        <v>10</v>
      </c>
      <c r="BQ54" s="194" t="n">
        <f aca="false">COUNT(BQ28:BQ52)</f>
        <v>9</v>
      </c>
      <c r="BR54" s="194" t="n">
        <f aca="false">COUNT(BR28:BR52)</f>
        <v>9</v>
      </c>
      <c r="BS54" s="194" t="n">
        <f aca="false">COUNT(BS28:BS52)</f>
        <v>9</v>
      </c>
      <c r="BT54" s="194" t="n">
        <f aca="false">COUNT(BT28:BT52)</f>
        <v>9</v>
      </c>
      <c r="BU54" s="194" t="n">
        <f aca="false">COUNT(BU28:BU52)</f>
        <v>8</v>
      </c>
      <c r="BV54" s="194" t="n">
        <f aca="false">COUNT(BV28:BV52)</f>
        <v>7</v>
      </c>
      <c r="BW54" s="194" t="n">
        <f aca="false">COUNT(BW28:BW52)</f>
        <v>6</v>
      </c>
      <c r="BX54" s="194" t="n">
        <f aca="false">COUNT(BX28:BX52)</f>
        <v>5</v>
      </c>
      <c r="BY54" s="194" t="n">
        <f aca="false">COUNT(BY28:BY52)</f>
        <v>4</v>
      </c>
      <c r="BZ54" s="194" t="n">
        <f aca="false">COUNT(BZ28:BZ52)</f>
        <v>3</v>
      </c>
      <c r="CA54" s="194" t="n">
        <f aca="false">COUNT(CA28:CA52)</f>
        <v>2</v>
      </c>
      <c r="CB54" s="194" t="n">
        <f aca="false">COUNT(CB28:CB52)</f>
        <v>1</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603</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750022.66</v>
      </c>
      <c r="M55" s="196" t="n">
        <f aca="false">Model!K10+Model!K11+Model!K56</f>
        <v>702745.4</v>
      </c>
      <c r="N55" s="196" t="n">
        <f aca="false">Model!L10+Model!L11+Model!L56</f>
        <v>568759.87</v>
      </c>
      <c r="O55" s="196" t="n">
        <f aca="false">Model!M10+Model!M11+Model!M56</f>
        <v>703054.179241136</v>
      </c>
      <c r="P55" s="196" t="n">
        <f aca="false">Model!N10+Model!N11+Model!N56</f>
        <v>830799.255959785</v>
      </c>
      <c r="Q55" s="196" t="n">
        <f aca="false">Model!O10+Model!O11+Model!O56</f>
        <v>849473.122440736</v>
      </c>
      <c r="R55" s="196" t="n">
        <f aca="false">Model!P10+Model!P11+Model!P56</f>
        <v>878818.022440736</v>
      </c>
      <c r="S55" s="196" t="n">
        <f aca="false">Model!Q10+Model!Q11+Model!Q56</f>
        <v>962283.672168416</v>
      </c>
      <c r="T55" s="196" t="n">
        <f aca="false">Model!R10+Model!R11+Model!R56</f>
        <v>1006469.60156417</v>
      </c>
      <c r="U55" s="196" t="n">
        <f aca="false">Model!S10+Model!S11+Model!S56</f>
        <v>1187324.25562138</v>
      </c>
      <c r="V55" s="196" t="n">
        <f aca="false">Model!T10+Model!T11+Model!T56</f>
        <v>1281039.24562138</v>
      </c>
      <c r="W55" s="196" t="n">
        <f aca="false">Model!U10+Model!U11+Model!U56</f>
        <v>1171298.79562138</v>
      </c>
      <c r="X55" s="196" t="n">
        <f aca="false">Model!V10+Model!V11+Model!V56</f>
        <v>1308387.61772613</v>
      </c>
      <c r="Y55" s="196" t="n">
        <f aca="false">Model!W10+Model!W11+Model!W56</f>
        <v>1193430.51002613</v>
      </c>
      <c r="Z55" s="196" t="n">
        <f aca="false">Model!X10+Model!X11+Model!X56</f>
        <v>1460388.59488505</v>
      </c>
      <c r="AA55" s="196" t="n">
        <f aca="false">Model!Y10+Model!Y11+Model!Y56</f>
        <v>1276861.67488505</v>
      </c>
      <c r="AB55" s="196" t="n">
        <f aca="false">Model!Z10+Model!Z11+Model!Z56</f>
        <v>1376788.67488505</v>
      </c>
      <c r="AC55" s="196" t="n">
        <f aca="false">Model!AA10+Model!AA11+Model!AA56</f>
        <v>1286621.73488505</v>
      </c>
      <c r="AD55" s="196" t="n">
        <f aca="false">Model!AB10+Model!AB11+Model!AB56</f>
        <v>1256839.36488505</v>
      </c>
      <c r="AE55" s="196" t="n">
        <f aca="false">Model!AC10+Model!AC11+Model!AC56</f>
        <v>1160602.52488505</v>
      </c>
      <c r="AF55" s="196" t="n">
        <f aca="false">Model!AD10+Model!AD11+Model!AD56</f>
        <v>1183168.56488505</v>
      </c>
      <c r="AG55" s="196" t="n">
        <f aca="false">Model!AE10+Model!AE11+Model!AE56</f>
        <v>1331911.88575359</v>
      </c>
      <c r="AH55" s="196" t="n">
        <f aca="false">Model!AF10+Model!AF11+Model!AF56</f>
        <v>1490296.01247224</v>
      </c>
      <c r="AI55" s="196" t="n">
        <f aca="false">Model!AG10+Model!AG11+Model!AG56</f>
        <v>1532047.41551589</v>
      </c>
      <c r="AJ55" s="196" t="n">
        <f aca="false">Model!AH10+Model!AH11+Model!AH56</f>
        <v>1617018.19019074</v>
      </c>
      <c r="AK55" s="196" t="n">
        <f aca="false">Model!AI10+Model!AI11+Model!AI56</f>
        <v>1469063.77282631</v>
      </c>
      <c r="AL55" s="196" t="n">
        <f aca="false">Model!AJ10+Model!AJ11+Model!AJ56</f>
        <v>1636230.17178981</v>
      </c>
      <c r="AM55" s="196" t="n">
        <f aca="false">Model!AK10+Model!AK11+Model!AK56</f>
        <v>1333705.41418943</v>
      </c>
      <c r="AN55" s="196" t="n">
        <f aca="false">Model!AL10+Model!AL11+Model!AL56</f>
        <v>1438069.37418943</v>
      </c>
      <c r="AO55" s="196" t="n">
        <f aca="false">Model!AM10+Model!AM11+Model!AM56</f>
        <v>1558104.31418943</v>
      </c>
      <c r="AP55" s="196" t="n">
        <f aca="false">Model!AN10+Model!AN11+Model!AN56</f>
        <v>1627325.31629418</v>
      </c>
      <c r="AQ55" s="196" t="n">
        <f aca="false">Model!AO10+Model!AO11+Model!AO56</f>
        <v>1589671.25438468</v>
      </c>
      <c r="AR55" s="196" t="n">
        <f aca="false">Model!AP10+Model!AP11+Model!AP56</f>
        <v>1533015.24978468</v>
      </c>
      <c r="AS55" s="196" t="n">
        <f aca="false">Model!AQ10+Model!AQ11+Model!AQ56</f>
        <v>1623308.49978468</v>
      </c>
      <c r="AT55" s="196" t="n">
        <f aca="false">Model!AR10+Model!AR11+Model!AR56</f>
        <v>1623308.49978468</v>
      </c>
      <c r="AU55" s="196" t="n">
        <f aca="false">Model!AS10+Model!AS11+Model!AS56</f>
        <v>1623308.49978468</v>
      </c>
      <c r="AV55" s="196" t="n">
        <f aca="false">Model!AT10+Model!AT11+Model!AT56</f>
        <v>1731660.39978468</v>
      </c>
      <c r="AW55" s="196" t="n">
        <f aca="false">Model!AU10+Model!AU11+Model!AU56</f>
        <v>1773955.74802752</v>
      </c>
      <c r="AX55" s="196" t="n">
        <f aca="false">Model!AV10+Model!AV11+Model!AV56</f>
        <v>1866824.93027926</v>
      </c>
      <c r="AY55" s="196" t="n">
        <f aca="false">Model!AW10+Model!AW11+Model!AW56</f>
        <v>1421765.14086855</v>
      </c>
      <c r="AZ55" s="196" t="n">
        <f aca="false">Model!AX10+Model!AX11+Model!AX56</f>
        <v>1421765.14086855</v>
      </c>
      <c r="BA55" s="196" t="n">
        <f aca="false">Model!AY10+Model!AY11+Model!AY56</f>
        <v>1530117.04086855</v>
      </c>
      <c r="BB55" s="196" t="n">
        <f aca="false">Model!AZ10+Model!AZ11+Model!AZ56</f>
        <v>1512058.39086855</v>
      </c>
      <c r="BC55" s="196" t="n">
        <f aca="false">Model!BA10+Model!BA11+Model!BA56</f>
        <v>1493999.74086855</v>
      </c>
      <c r="BD55" s="196" t="n">
        <f aca="false">Model!BB10+Model!BB11+Model!BB56</f>
        <v>1493999.74086855</v>
      </c>
      <c r="BE55" s="196" t="n">
        <f aca="false">Model!BC10+Model!BC11+Model!BC56</f>
        <v>1493999.74086855</v>
      </c>
      <c r="BF55" s="196" t="n">
        <f aca="false">Model!BD10+Model!BD11+Model!BD56</f>
        <v>1512058.39086855</v>
      </c>
      <c r="BG55" s="196" t="n">
        <f aca="false">Model!BE10+Model!BE11+Model!BE56</f>
        <v>1530117.04086855</v>
      </c>
      <c r="BH55" s="196" t="n">
        <f aca="false">Model!BF10+Model!BF11+Model!BF56</f>
        <v>1493999.74086855</v>
      </c>
      <c r="BI55" s="196" t="n">
        <f aca="false">Model!BG10+Model!BG11+Model!BG56</f>
        <v>1512058.39086855</v>
      </c>
      <c r="BJ55" s="196" t="n">
        <f aca="false">Model!BH10+Model!BH11+Model!BH56</f>
        <v>1779053.31592415</v>
      </c>
      <c r="BK55" s="196" t="n">
        <f aca="false">Model!BI10+Model!BI11+Model!BI56</f>
        <v>1246046.85</v>
      </c>
      <c r="BL55" s="196" t="n">
        <f aca="false">Model!BJ10+Model!BJ11+Model!BJ56</f>
        <v>1065460.35</v>
      </c>
      <c r="BM55" s="196" t="n">
        <f aca="false">Model!BK10+Model!BK11+Model!BK56</f>
        <v>1065460.35</v>
      </c>
      <c r="BN55" s="196" t="n">
        <f aca="false">Model!BL10+Model!BL11+Model!BL56</f>
        <v>1065460.35</v>
      </c>
      <c r="BO55" s="196" t="n">
        <f aca="false">Model!BM10+Model!BM11+Model!BM56</f>
        <v>1173812.25</v>
      </c>
      <c r="BP55" s="196" t="n">
        <f aca="false">Model!BN10+Model!BN11+Model!BN56</f>
        <v>1047401.7</v>
      </c>
      <c r="BQ55" s="196" t="n">
        <f aca="false">Model!BO10+Model!BO11+Model!BO56</f>
        <v>866815.2</v>
      </c>
      <c r="BR55" s="196" t="n">
        <f aca="false">Model!BP10+Model!BP11+Model!BP56</f>
        <v>866815.2</v>
      </c>
      <c r="BS55" s="196" t="n">
        <f aca="false">Model!BQ10+Model!BQ11+Model!BQ56</f>
        <v>866815.2</v>
      </c>
      <c r="BT55" s="196" t="n">
        <f aca="false">Model!BR10+Model!BR11+Model!BR56</f>
        <v>957108.45</v>
      </c>
      <c r="BU55" s="196" t="n">
        <f aca="false">Model!BS10+Model!BS11+Model!BS56</f>
        <v>884873.85</v>
      </c>
      <c r="BV55" s="196" t="n">
        <f aca="false">Model!BT10+Model!BT11+Model!BT56</f>
        <v>758463.3</v>
      </c>
      <c r="BW55" s="196" t="n">
        <f aca="false">Model!BU10+Model!BU11+Model!BU56</f>
        <v>668170.05</v>
      </c>
      <c r="BX55" s="196" t="n">
        <f aca="false">Model!BV10+Model!BV11+Model!BV56</f>
        <v>595935.45</v>
      </c>
      <c r="BY55" s="196" t="n">
        <f aca="false">Model!BW10+Model!BW11+Model!BW56</f>
        <v>469524.9</v>
      </c>
      <c r="BZ55" s="196" t="n">
        <f aca="false">Model!BX10+Model!BX11+Model!BX56</f>
        <v>379231.65</v>
      </c>
      <c r="CA55" s="196" t="n">
        <f aca="false">Model!BY10+Model!BY11+Model!BY56</f>
        <v>306997.05</v>
      </c>
      <c r="CB55" s="196" t="n">
        <f aca="false">Model!BZ10+Model!BZ11+Model!BZ56</f>
        <v>180586.5</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604</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6380882.05</v>
      </c>
      <c r="M56" s="199" t="n">
        <f aca="false">M21+M53+M55</f>
        <v>5863956.57</v>
      </c>
      <c r="N56" s="199" t="n">
        <f aca="false">N21+N53+N55</f>
        <v>4729790.82</v>
      </c>
      <c r="O56" s="199" t="n">
        <f aca="false">O21+O53+O55</f>
        <v>5132510.77328436</v>
      </c>
      <c r="P56" s="199" t="n">
        <f aca="false">P21+P53+P55</f>
        <v>6170880.54384768</v>
      </c>
      <c r="Q56" s="199" t="n">
        <f aca="false">Q21+Q53+Q55</f>
        <v>6341866.6338124</v>
      </c>
      <c r="R56" s="199" t="n">
        <f aca="false">R21+R53+R55</f>
        <v>6945194.8312479</v>
      </c>
      <c r="S56" s="199" t="n">
        <f aca="false">S21+S53+S55</f>
        <v>7478990.28207472</v>
      </c>
      <c r="T56" s="199" t="n">
        <f aca="false">T21+T53+T55</f>
        <v>8013119.23425321</v>
      </c>
      <c r="U56" s="199" t="n">
        <f aca="false">U21+U53+U55</f>
        <v>9298158.89329206</v>
      </c>
      <c r="V56" s="199" t="n">
        <f aca="false">V21+V53+V55</f>
        <v>10671212.0221813</v>
      </c>
      <c r="W56" s="199" t="n">
        <f aca="false">W21+W53+W55</f>
        <v>10302952.0462077</v>
      </c>
      <c r="X56" s="199" t="n">
        <f aca="false">X21+X53+X55</f>
        <v>11572227.091369</v>
      </c>
      <c r="Y56" s="199" t="n">
        <f aca="false">Y21+Y53+Y55</f>
        <v>10740569.7242913</v>
      </c>
      <c r="Z56" s="199" t="n">
        <f aca="false">Z21+Z53+Z55</f>
        <v>13086545.6711499</v>
      </c>
      <c r="AA56" s="199" t="n">
        <f aca="false">AA21+AA53+AA55</f>
        <v>12030637.4571398</v>
      </c>
      <c r="AB56" s="199" t="n">
        <f aca="false">AB21+AB53+AB55</f>
        <v>13232912.5230393</v>
      </c>
      <c r="AC56" s="199" t="n">
        <f aca="false">AC21+AC53+AC55</f>
        <v>12713689.6064346</v>
      </c>
      <c r="AD56" s="199" t="n">
        <f aca="false">AD21+AD53+AD55</f>
        <v>12133997.4418816</v>
      </c>
      <c r="AE56" s="199" t="n">
        <f aca="false">AE21+AE53+AE55</f>
        <v>11417092.6981075</v>
      </c>
      <c r="AF56" s="199" t="n">
        <f aca="false">AF21+AF53+AF55</f>
        <v>11569903.9978792</v>
      </c>
      <c r="AG56" s="199" t="n">
        <f aca="false">AG21+AG53+AG55</f>
        <v>12002539.0711238</v>
      </c>
      <c r="AH56" s="199" t="n">
        <f aca="false">AH21+AH53+AH55</f>
        <v>12098622.6788162</v>
      </c>
      <c r="AI56" s="199" t="n">
        <f aca="false">AI21+AI53+AI55</f>
        <v>12877731.8020787</v>
      </c>
      <c r="AJ56" s="199" t="n">
        <f aca="false">AJ21+AJ53+AJ55</f>
        <v>12825610.8153582</v>
      </c>
      <c r="AK56" s="199" t="n">
        <f aca="false">AK21+AK53+AK55</f>
        <v>12680289.4920653</v>
      </c>
      <c r="AL56" s="199" t="n">
        <f aca="false">AL21+AL53+AL55</f>
        <v>12108917.3042195</v>
      </c>
      <c r="AM56" s="199" t="n">
        <f aca="false">AM21+AM53+AM55</f>
        <v>11752836.0602968</v>
      </c>
      <c r="AN56" s="199" t="n">
        <f aca="false">AN21+AN53+AN55</f>
        <v>12470581.8249904</v>
      </c>
      <c r="AO56" s="199" t="n">
        <f aca="false">AO21+AO53+AO55</f>
        <v>13261217.263072</v>
      </c>
      <c r="AP56" s="199" t="n">
        <f aca="false">AP21+AP53+AP55</f>
        <v>13014671.5033586</v>
      </c>
      <c r="AQ56" s="199" t="n">
        <f aca="false">AQ21+AQ53+AQ55</f>
        <v>13044376.7457394</v>
      </c>
      <c r="AR56" s="199" t="n">
        <f aca="false">AR21+AR53+AR55</f>
        <v>13560842.5155699</v>
      </c>
      <c r="AS56" s="199" t="n">
        <f aca="false">AS21+AS53+AS55</f>
        <v>13819455.694126</v>
      </c>
      <c r="AT56" s="199" t="n">
        <f aca="false">AT21+AT53+AT55</f>
        <v>14273033.108166</v>
      </c>
      <c r="AU56" s="199" t="n">
        <f aca="false">AU21+AU53+AU55</f>
        <v>14545217.35625</v>
      </c>
      <c r="AV56" s="199" t="n">
        <f aca="false">AV21+AV53+AV55</f>
        <v>14616011.81203</v>
      </c>
      <c r="AW56" s="199" t="n">
        <f aca="false">AW21+AW53+AW55</f>
        <v>14574551.413076</v>
      </c>
      <c r="AX56" s="199" t="n">
        <f aca="false">AX21+AX53+AX55</f>
        <v>14815588.461186</v>
      </c>
      <c r="AY56" s="199" t="n">
        <f aca="false">AY21+AY53+AY55</f>
        <v>13914879.79244</v>
      </c>
      <c r="AZ56" s="199" t="n">
        <f aca="false">AZ21+AZ53+AZ55</f>
        <v>13546704.336568</v>
      </c>
      <c r="BA56" s="199" t="n">
        <f aca="false">BA21+BA53+BA55</f>
        <v>13001829.497504</v>
      </c>
      <c r="BB56" s="199" t="n">
        <f aca="false">BB21+BB53+BB55</f>
        <v>12326704.780008</v>
      </c>
      <c r="BC56" s="199" t="n">
        <f aca="false">BC21+BC53+BC55</f>
        <v>11789814.171264</v>
      </c>
      <c r="BD56" s="199" t="n">
        <f aca="false">BD21+BD53+BD55</f>
        <v>11337691.303824</v>
      </c>
      <c r="BE56" s="199" t="n">
        <f aca="false">BE21+BE53+BE55</f>
        <v>10976150.874136</v>
      </c>
      <c r="BF56" s="199" t="n">
        <f aca="false">BF21+BF53+BF55</f>
        <v>10801919.16012</v>
      </c>
      <c r="BG56" s="199" t="n">
        <f aca="false">BG21+BG53+BG55</f>
        <v>10685003.666536</v>
      </c>
      <c r="BH56" s="199" t="n">
        <f aca="false">BH21+BH53+BH55</f>
        <v>10627670.124984</v>
      </c>
      <c r="BI56" s="199" t="n">
        <f aca="false">BI21+BI53+BI55</f>
        <v>10843807.075376</v>
      </c>
      <c r="BJ56" s="199" t="n">
        <f aca="false">BJ21+BJ53+BJ55</f>
        <v>11100546.929832</v>
      </c>
      <c r="BK56" s="199" t="n">
        <f aca="false">BK21+BK53+BK55</f>
        <v>10407687</v>
      </c>
      <c r="BL56" s="199" t="n">
        <f aca="false">BL21+BL53+BL55</f>
        <v>10417158</v>
      </c>
      <c r="BM56" s="199" t="n">
        <f aca="false">BM21+BM53+BM55</f>
        <v>10664883</v>
      </c>
      <c r="BN56" s="199" t="n">
        <f aca="false">BN21+BN53+BN55</f>
        <v>10736742</v>
      </c>
      <c r="BO56" s="199" t="n">
        <f aca="false">BO21+BO53+BO55</f>
        <v>10624533</v>
      </c>
      <c r="BP56" s="199" t="n">
        <f aca="false">BP21+BP53+BP55</f>
        <v>9952569</v>
      </c>
      <c r="BQ56" s="199" t="n">
        <f aca="false">BQ21+BQ53+BQ55</f>
        <v>9258027</v>
      </c>
      <c r="BR56" s="199" t="n">
        <f aca="false">BR21+BR53+BR55</f>
        <v>8783472</v>
      </c>
      <c r="BS56" s="199" t="n">
        <f aca="false">BS21+BS53+BS55</f>
        <v>8159178</v>
      </c>
      <c r="BT56" s="199" t="n">
        <f aca="false">BT21+BT53+BT55</f>
        <v>7420524</v>
      </c>
      <c r="BU56" s="199" t="n">
        <f aca="false">BU21+BU53+BU55</f>
        <v>6292893</v>
      </c>
      <c r="BV56" s="199" t="n">
        <f aca="false">BV21+BV53+BV55</f>
        <v>5139747</v>
      </c>
      <c r="BW56" s="199" t="n">
        <f aca="false">BW21+BW53+BW55</f>
        <v>4126617</v>
      </c>
      <c r="BX56" s="199" t="n">
        <f aca="false">BX21+BX53+BX55</f>
        <v>3194637</v>
      </c>
      <c r="BY56" s="199" t="n">
        <f aca="false">BY21+BY53+BY55</f>
        <v>2296026</v>
      </c>
      <c r="BZ56" s="199" t="n">
        <f aca="false">BZ21+BZ53+BZ55</f>
        <v>1579683</v>
      </c>
      <c r="CA56" s="199" t="n">
        <f aca="false">CA21+CA53+CA55</f>
        <v>968721</v>
      </c>
      <c r="CB56" s="199" t="n">
        <f aca="false">CB21+CB53+CB55</f>
        <v>397755</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605</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10</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13</v>
      </c>
      <c r="AA57" s="200" t="n">
        <f aca="false">AA22+AA54</f>
        <v>13</v>
      </c>
      <c r="AB57" s="200" t="n">
        <f aca="false">AB22+AB54</f>
        <v>13</v>
      </c>
      <c r="AC57" s="200" t="n">
        <f aca="false">AC22+AC54</f>
        <v>13</v>
      </c>
      <c r="AD57" s="200" t="n">
        <f aca="false">AD22+AD54</f>
        <v>13</v>
      </c>
      <c r="AE57" s="200" t="n">
        <f aca="false">AE22+AE54</f>
        <v>12</v>
      </c>
      <c r="AF57" s="200" t="n">
        <f aca="false">AF22+AF54</f>
        <v>12</v>
      </c>
      <c r="AG57" s="200" t="n">
        <f aca="false">AG22+AG54</f>
        <v>13</v>
      </c>
      <c r="AH57" s="200" t="n">
        <f aca="false">AH22+AH54</f>
        <v>13</v>
      </c>
      <c r="AI57" s="200" t="n">
        <f aca="false">AI22+AI54</f>
        <v>12</v>
      </c>
      <c r="AJ57" s="200" t="n">
        <f aca="false">AJ22+AJ54</f>
        <v>12</v>
      </c>
      <c r="AK57" s="200" t="n">
        <f aca="false">AK22+AK54</f>
        <v>12</v>
      </c>
      <c r="AL57" s="200" t="n">
        <f aca="false">AL22+AL54</f>
        <v>13</v>
      </c>
      <c r="AM57" s="200" t="n">
        <f aca="false">AM22+AM54</f>
        <v>12</v>
      </c>
      <c r="AN57" s="200" t="n">
        <f aca="false">AN22+AN54</f>
        <v>13</v>
      </c>
      <c r="AO57" s="200" t="n">
        <f aca="false">AO22+AO54</f>
        <v>14</v>
      </c>
      <c r="AP57" s="200" t="n">
        <f aca="false">AP22+AP54</f>
        <v>15</v>
      </c>
      <c r="AQ57" s="200" t="n">
        <f aca="false">AQ22+AQ54</f>
        <v>14</v>
      </c>
      <c r="AR57" s="200" t="n">
        <f aca="false">AR22+AR54</f>
        <v>14</v>
      </c>
      <c r="AS57" s="200" t="n">
        <f aca="false">AS22+AS54</f>
        <v>15</v>
      </c>
      <c r="AT57" s="200" t="n">
        <f aca="false">AT22+AT54</f>
        <v>15</v>
      </c>
      <c r="AU57" s="200" t="n">
        <f aca="false">AU22+AU54</f>
        <v>15</v>
      </c>
      <c r="AV57" s="200" t="n">
        <f aca="false">AV22+AV54</f>
        <v>15</v>
      </c>
      <c r="AW57" s="200" t="n">
        <f aca="false">AW22+AW54</f>
        <v>15</v>
      </c>
      <c r="AX57" s="200" t="n">
        <f aca="false">AX22+AX54</f>
        <v>15</v>
      </c>
      <c r="AY57" s="200" t="n">
        <f aca="false">AY22+AY54</f>
        <v>14</v>
      </c>
      <c r="AZ57" s="200" t="n">
        <f aca="false">AZ22+AZ54</f>
        <v>14</v>
      </c>
      <c r="BA57" s="200" t="n">
        <f aca="false">BA22+BA54</f>
        <v>14</v>
      </c>
      <c r="BB57" s="200" t="n">
        <f aca="false">BB22+BB54</f>
        <v>14</v>
      </c>
      <c r="BC57" s="200" t="n">
        <f aca="false">BC22+BC54</f>
        <v>14</v>
      </c>
      <c r="BD57" s="200" t="n">
        <f aca="false">BD22+BD54</f>
        <v>14</v>
      </c>
      <c r="BE57" s="200" t="n">
        <f aca="false">BE22+BE54</f>
        <v>14</v>
      </c>
      <c r="BF57" s="200" t="n">
        <f aca="false">BF22+BF54</f>
        <v>14</v>
      </c>
      <c r="BG57" s="200" t="n">
        <f aca="false">BG22+BG54</f>
        <v>14</v>
      </c>
      <c r="BH57" s="200" t="n">
        <f aca="false">BH22+BH54</f>
        <v>14</v>
      </c>
      <c r="BI57" s="200" t="n">
        <f aca="false">BI22+BI54</f>
        <v>14</v>
      </c>
      <c r="BJ57" s="200" t="n">
        <f aca="false">BJ22+BJ54</f>
        <v>14</v>
      </c>
      <c r="BK57" s="200" t="n">
        <f aca="false">BK22+BK54</f>
        <v>12</v>
      </c>
      <c r="BL57" s="200" t="n">
        <f aca="false">BL22+BL54</f>
        <v>11</v>
      </c>
      <c r="BM57" s="200" t="n">
        <f aca="false">BM22+BM54</f>
        <v>11</v>
      </c>
      <c r="BN57" s="200" t="n">
        <f aca="false">BN22+BN54</f>
        <v>11</v>
      </c>
      <c r="BO57" s="200" t="n">
        <f aca="false">BO22+BO54</f>
        <v>11</v>
      </c>
      <c r="BP57" s="200" t="n">
        <f aca="false">BP22+BP54</f>
        <v>10</v>
      </c>
      <c r="BQ57" s="200" t="n">
        <f aca="false">BQ22+BQ54</f>
        <v>9</v>
      </c>
      <c r="BR57" s="200" t="n">
        <f aca="false">BR22+BR54</f>
        <v>9</v>
      </c>
      <c r="BS57" s="200" t="n">
        <f aca="false">BS22+BS54</f>
        <v>9</v>
      </c>
      <c r="BT57" s="200" t="n">
        <f aca="false">BT22+BT54</f>
        <v>9</v>
      </c>
      <c r="BU57" s="200" t="n">
        <f aca="false">BU22+BU54</f>
        <v>8</v>
      </c>
      <c r="BV57" s="200" t="n">
        <f aca="false">BV22+BV54</f>
        <v>7</v>
      </c>
      <c r="BW57" s="200" t="n">
        <f aca="false">BW22+BW54</f>
        <v>6</v>
      </c>
      <c r="BX57" s="200" t="n">
        <f aca="false">BX22+BX54</f>
        <v>5</v>
      </c>
      <c r="BY57" s="200" t="n">
        <f aca="false">BY22+BY54</f>
        <v>4</v>
      </c>
      <c r="BZ57" s="200" t="n">
        <f aca="false">BZ22+BZ54</f>
        <v>3</v>
      </c>
      <c r="CA57" s="200" t="n">
        <f aca="false">CA22+CA54</f>
        <v>2</v>
      </c>
      <c r="CB57" s="200" t="n">
        <f aca="false">CB22+CB54</f>
        <v>1</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606</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598679.7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712065.95966</v>
      </c>
      <c r="T59" s="196" t="n">
        <f aca="false">-(Model!R236+Model!R292)</f>
        <v>761971.78466</v>
      </c>
      <c r="U59" s="196" t="n">
        <f aca="false">-(Model!S236+Model!S292)</f>
        <v>777846.05966</v>
      </c>
      <c r="V59" s="196" t="n">
        <f aca="false">-(Model!T236+Model!T292)</f>
        <v>758721.05966</v>
      </c>
      <c r="W59" s="196" t="n">
        <f aca="false">-(Model!U236+Model!U292)</f>
        <v>758721.05966</v>
      </c>
      <c r="X59" s="196" t="n">
        <f aca="false">-(Model!V236+Model!V292)</f>
        <v>758721.05966</v>
      </c>
      <c r="Y59" s="196" t="n">
        <f aca="false">-(Model!W236+Model!W292)</f>
        <v>758721.05966</v>
      </c>
      <c r="Z59" s="196" t="n">
        <f aca="false">-(Model!X236+Model!X292)</f>
        <v>758721.05966</v>
      </c>
      <c r="AA59" s="196" t="n">
        <f aca="false">-(Model!Y236+Model!Y292)</f>
        <v>821286.88611</v>
      </c>
      <c r="AB59" s="196" t="n">
        <f aca="false">-(Model!Z236+Model!Z292)</f>
        <v>758721.05966</v>
      </c>
      <c r="AC59" s="196" t="n">
        <f aca="false">-(Model!AA236+Model!AA292)</f>
        <v>758721.05966</v>
      </c>
      <c r="AD59" s="196" t="n">
        <f aca="false">-(Model!AB236+Model!AB292)</f>
        <v>758721.05966</v>
      </c>
      <c r="AE59" s="196" t="n">
        <f aca="false">-(Model!AC236+Model!AC292)</f>
        <v>818252.7208532</v>
      </c>
      <c r="AF59" s="196" t="n">
        <f aca="false">-(Model!AD236+Model!AD292)</f>
        <v>773252.7208532</v>
      </c>
      <c r="AG59" s="196" t="n">
        <f aca="false">-(Model!AE236+Model!AE292)</f>
        <v>773252.7208532</v>
      </c>
      <c r="AH59" s="196" t="n">
        <f aca="false">-(Model!AF236+Model!AF292)</f>
        <v>773252.7208532</v>
      </c>
      <c r="AI59" s="196" t="n">
        <f aca="false">-(Model!AG236+Model!AG292)</f>
        <v>794689.8583532</v>
      </c>
      <c r="AJ59" s="196" t="n">
        <f aca="false">-(Model!AH236+Model!AH292)</f>
        <v>830314.8583532</v>
      </c>
      <c r="AK59" s="196" t="n">
        <f aca="false">-(Model!AI236+Model!AI292)</f>
        <v>830314.8583532</v>
      </c>
      <c r="AL59" s="196" t="n">
        <f aca="false">-(Model!AJ236+Model!AJ292)</f>
        <v>822814.8583532</v>
      </c>
      <c r="AM59" s="196" t="n">
        <f aca="false">-(Model!AK236+Model!AK292)</f>
        <v>822814.8583532</v>
      </c>
      <c r="AN59" s="196" t="n">
        <f aca="false">-(Model!AL236+Model!AL292)</f>
        <v>822814.8583532</v>
      </c>
      <c r="AO59" s="196" t="n">
        <f aca="false">-(Model!AM236+Model!AM292)</f>
        <v>822814.8583532</v>
      </c>
      <c r="AP59" s="196" t="n">
        <f aca="false">-(Model!AN236+Model!AN292)</f>
        <v>873189.1333532</v>
      </c>
      <c r="AQ59" s="196" t="n">
        <f aca="false">-(Model!AO236+Model!AO292)</f>
        <v>906709.051730264</v>
      </c>
      <c r="AR59" s="196" t="n">
        <f aca="false">-(Model!AP236+Model!AP292)</f>
        <v>887584.051730264</v>
      </c>
      <c r="AS59" s="196" t="n">
        <f aca="false">-(Model!AQ236+Model!AQ292)</f>
        <v>895084.051730264</v>
      </c>
      <c r="AT59" s="196" t="n">
        <f aca="false">-(Model!AR236+Model!AR292)</f>
        <v>887584.051730264</v>
      </c>
      <c r="AU59" s="196" t="n">
        <f aca="false">-(Model!AS236+Model!AS292)</f>
        <v>850084.051730264</v>
      </c>
      <c r="AV59" s="196" t="n">
        <f aca="false">-(Model!AT236+Model!AT292)</f>
        <v>1012487.98056308</v>
      </c>
      <c r="AW59" s="196" t="n">
        <f aca="false">-(Model!AU236+Model!AU292)</f>
        <v>974881.130715601</v>
      </c>
      <c r="AX59" s="196" t="n">
        <f aca="false">-(Model!AV236+Model!AV292)</f>
        <v>895084.051730264</v>
      </c>
      <c r="AY59" s="196" t="n">
        <f aca="false">-(Model!AW236+Model!AW292)</f>
        <v>969266.051730264</v>
      </c>
      <c r="AZ59" s="196" t="n">
        <f aca="false">-(Model!AX236+Model!AX292)</f>
        <v>847288.536270264</v>
      </c>
      <c r="BA59" s="196" t="n">
        <f aca="false">-(Model!AY236+Model!AY292)</f>
        <v>920292.694848679</v>
      </c>
      <c r="BB59" s="196" t="n">
        <f aca="false">-(Model!AZ236+Model!AZ292)</f>
        <v>1002850.25731805</v>
      </c>
      <c r="BC59" s="196" t="n">
        <f aca="false">-(Model!BA236+Model!BA292)</f>
        <v>946856.312464276</v>
      </c>
      <c r="BD59" s="196" t="n">
        <f aca="false">-(Model!BB236+Model!BB292)</f>
        <v>945037.57346614</v>
      </c>
      <c r="BE59" s="196" t="n">
        <f aca="false">-(Model!BC236+Model!BC292)</f>
        <v>1835637.82895619</v>
      </c>
      <c r="BF59" s="196" t="n">
        <f aca="false">-(Model!BD236+Model!BD292)</f>
        <v>893601.785536462</v>
      </c>
      <c r="BG59" s="196" t="n">
        <f aca="false">-(Model!BE236+Model!BE292)</f>
        <v>930378.008661733</v>
      </c>
      <c r="BH59" s="196" t="n">
        <f aca="false">-(Model!BF236+Model!BF292)</f>
        <v>1025424.12418899</v>
      </c>
      <c r="BI59" s="196" t="n">
        <f aca="false">-(Model!BG236+Model!BG292)</f>
        <v>894817.635167945</v>
      </c>
      <c r="BJ59" s="196" t="n">
        <f aca="false">-(Model!BH236+Model!BH292)</f>
        <v>931472.944848816</v>
      </c>
      <c r="BK59" s="196" t="n">
        <f aca="false">-(Model!BI236+Model!BI292)</f>
        <v>1025933.60144534</v>
      </c>
      <c r="BL59" s="196" t="n">
        <f aca="false">-(Model!BJ236+Model!BJ292)</f>
        <v>797671.998519469</v>
      </c>
      <c r="BM59" s="196" t="n">
        <f aca="false">-(Model!BK236+Model!BK292)</f>
        <v>794620.572750269</v>
      </c>
      <c r="BN59" s="196" t="n">
        <f aca="false">-(Model!BL236+Model!BL292)</f>
        <v>915496.572750269</v>
      </c>
      <c r="BO59" s="196" t="n">
        <f aca="false">-(Model!BM236+Model!BM292)</f>
        <v>880981.608979026</v>
      </c>
      <c r="BP59" s="196" t="n">
        <f aca="false">-(Model!BN236+Model!BN292)</f>
        <v>836140.489342492</v>
      </c>
      <c r="BQ59" s="196" t="n">
        <f aca="false">-(Model!BO236+Model!BO292)</f>
        <v>883375.851795126</v>
      </c>
      <c r="BR59" s="196" t="n">
        <f aca="false">-(Model!BP236+Model!BP292)</f>
        <v>704853.317402</v>
      </c>
      <c r="BS59" s="196" t="n">
        <f aca="false">-(Model!BQ236+Model!BQ292)</f>
        <v>679617.786194339</v>
      </c>
      <c r="BT59" s="196" t="n">
        <f aca="false">-(Model!BR236+Model!BR292)</f>
        <v>809568.709460599</v>
      </c>
      <c r="BU59" s="196" t="n">
        <f aca="false">-(Model!BS236+Model!BS292)</f>
        <v>747841.786228891</v>
      </c>
      <c r="BV59" s="196" t="n">
        <f aca="false">-(Model!BT236+Model!BT292)</f>
        <v>713291.670075705</v>
      </c>
      <c r="BW59" s="196" t="n">
        <f aca="false">-(Model!BU236+Model!BU292)</f>
        <v>765685.071853872</v>
      </c>
      <c r="BX59" s="196" t="n">
        <f aca="false">-(Model!BV236+Model!BV292)</f>
        <v>693803.635191979</v>
      </c>
      <c r="BY59" s="196" t="n">
        <f aca="false">-(Model!BW236+Model!BW292)</f>
        <v>659131.739957872</v>
      </c>
      <c r="BZ59" s="196" t="n">
        <f aca="false">-(Model!BX236+Model!BX292)</f>
        <v>724300.054429417</v>
      </c>
      <c r="CA59" s="196" t="n">
        <f aca="false">-(Model!BY236+Model!BY292)</f>
        <v>673414.642099809</v>
      </c>
      <c r="CB59" s="196" t="n">
        <f aca="false">-(Model!BZ236+Model!BZ292)</f>
        <v>635886.435766128</v>
      </c>
      <c r="CC59" s="196" t="n">
        <f aca="false">-(Model!CA236+Model!CA292)</f>
        <v>783682.435766128</v>
      </c>
      <c r="CD59" s="196" t="n">
        <f aca="false">-(Model!CB236+Model!CB292)</f>
        <v>635886.435766128</v>
      </c>
      <c r="CE59" s="196" t="n">
        <f aca="false">-(Model!CC236+Model!CC292)</f>
        <v>635886.435766128</v>
      </c>
      <c r="CF59" s="196" t="n">
        <f aca="false">-(Model!CD236+Model!CD292)</f>
        <v>790404.435766128</v>
      </c>
      <c r="CG59" s="196" t="n">
        <f aca="false">-(Model!CE236+Model!CE292)</f>
        <v>635886.435766128</v>
      </c>
      <c r="CH59" s="196" t="n">
        <f aca="false">-(Model!CF236+Model!CF292)</f>
        <v>635886.435766128</v>
      </c>
      <c r="CI59" s="196" t="n">
        <f aca="false">-(Model!CG236+Model!CG292)</f>
        <v>790403.435766128</v>
      </c>
      <c r="CJ59" s="196" t="n">
        <f aca="false">-(Model!CH236+Model!CH292)</f>
        <v>635886.435766128</v>
      </c>
      <c r="CK59" s="196" t="n">
        <f aca="false">-(Model!CI236+Model!CI292)</f>
        <v>635886.435766128</v>
      </c>
      <c r="CL59" s="196" t="n">
        <f aca="false">-(Model!CJ236+Model!CJ292)</f>
        <v>783795.409159649</v>
      </c>
      <c r="CM59" s="196" t="n">
        <f aca="false">-(Model!CK236+Model!CK292)</f>
        <v>721116.404481451</v>
      </c>
      <c r="CN59" s="196" t="n">
        <f aca="false">-(Model!CL236+Model!CL292)</f>
        <v>721116.404481451</v>
      </c>
      <c r="CO59" s="196" t="n">
        <f aca="false">-(Model!CM236+Model!CM292)</f>
        <v>721116.404481451</v>
      </c>
      <c r="CP59" s="196" t="n">
        <f aca="false">-(Model!CN236+Model!CN292)</f>
        <v>721116.404481451</v>
      </c>
      <c r="CQ59" s="196" t="n">
        <f aca="false">-(Model!CO236+Model!CO292)</f>
        <v>721116.404481451</v>
      </c>
      <c r="CR59" s="196" t="n">
        <f aca="false">-(Model!CP236+Model!CP292)</f>
        <v>721116.404481451</v>
      </c>
      <c r="CS59" s="196" t="n">
        <f aca="false">-(Model!CQ236+Model!CQ292)</f>
        <v>721116.404481451</v>
      </c>
      <c r="CT59" s="196" t="n">
        <f aca="false">-(Model!CR236+Model!CR292)</f>
        <v>721116.404481451</v>
      </c>
      <c r="CU59" s="196" t="n">
        <f aca="false">-(Model!CS236+Model!CS292)</f>
        <v>721116.404481451</v>
      </c>
      <c r="CV59" s="196" t="n">
        <f aca="false">-(Model!CT236+Model!CT292)</f>
        <v>674852.645441313</v>
      </c>
      <c r="CW59" s="196" t="n">
        <f aca="false">-(Model!CU236+Model!CU292)</f>
        <v>674852.645441313</v>
      </c>
      <c r="CX59" s="196" t="n">
        <f aca="false">-(Model!CV236+Model!CV292)</f>
        <v>674852.645441313</v>
      </c>
      <c r="CY59" s="196" t="n">
        <f aca="false">-(Model!CW236+Model!CW292)</f>
        <v>630535.687286546</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607</v>
      </c>
      <c r="G60" s="196" t="n">
        <f aca="false">Model!E199</f>
        <v>447358.25</v>
      </c>
      <c r="H60" s="196" t="n">
        <f aca="false">Model!F199</f>
        <v>465536.7</v>
      </c>
      <c r="I60" s="196" t="n">
        <f aca="false">Model!G199</f>
        <v>641351.13</v>
      </c>
      <c r="J60" s="196" t="n">
        <f aca="false">Model!H199</f>
        <v>1766649.51</v>
      </c>
      <c r="K60" s="196" t="n">
        <f aca="false">Model!I199</f>
        <v>560735.39</v>
      </c>
      <c r="L60" s="196" t="n">
        <f aca="false">Model!J199</f>
        <v>343866.884875</v>
      </c>
      <c r="M60" s="196" t="n">
        <f aca="false">Model!K199</f>
        <v>506626.420000001</v>
      </c>
      <c r="N60" s="196" t="n">
        <f aca="false">Model!L199</f>
        <v>447906.98</v>
      </c>
      <c r="O60" s="196" t="n">
        <f aca="false">Model!M199</f>
        <v>257261.039056407</v>
      </c>
      <c r="P60" s="196" t="n">
        <f aca="false">Model!N199</f>
        <v>757949.175959785</v>
      </c>
      <c r="Q60" s="196" t="n">
        <f aca="false">Model!O199</f>
        <v>787210.192440736</v>
      </c>
      <c r="R60" s="196" t="n">
        <f aca="false">Model!P199</f>
        <v>805684.812440735</v>
      </c>
      <c r="S60" s="196" t="n">
        <f aca="false">Model!Q199</f>
        <v>566931.237599451</v>
      </c>
      <c r="T60" s="196" t="n">
        <f aca="false">Model!R199</f>
        <v>751062.375763671</v>
      </c>
      <c r="U60" s="196" t="n">
        <f aca="false">Model!S199</f>
        <v>333932.97495636</v>
      </c>
      <c r="V60" s="196" t="n">
        <f aca="false">Model!T199</f>
        <v>1219348.63562138</v>
      </c>
      <c r="W60" s="196" t="n">
        <f aca="false">Model!U199</f>
        <v>1115646.57562139</v>
      </c>
      <c r="X60" s="196" t="n">
        <f aca="false">Model!V199</f>
        <v>1035118.95433943</v>
      </c>
      <c r="Y60" s="196" t="n">
        <f aca="false">Model!W199</f>
        <v>947568.954164063</v>
      </c>
      <c r="Z60" s="196" t="n">
        <f aca="false">Model!X199</f>
        <v>1460388.59488505</v>
      </c>
      <c r="AA60" s="196" t="n">
        <f aca="false">Model!Y199</f>
        <v>1276861.67488505</v>
      </c>
      <c r="AB60" s="196" t="n">
        <f aca="false">Model!Z199</f>
        <v>1376788.67488505</v>
      </c>
      <c r="AC60" s="196" t="n">
        <f aca="false">Model!AA199</f>
        <v>1286621.73488504</v>
      </c>
      <c r="AD60" s="196" t="n">
        <f aca="false">Model!AB199</f>
        <v>1256839.36488505</v>
      </c>
      <c r="AE60" s="196" t="n">
        <f aca="false">Model!AC199</f>
        <v>1160602.52488505</v>
      </c>
      <c r="AF60" s="196" t="n">
        <f aca="false">Model!AD199</f>
        <v>1183168.56488505</v>
      </c>
      <c r="AG60" s="196" t="n">
        <f aca="false">Model!AE199</f>
        <v>599038.542797926</v>
      </c>
      <c r="AH60" s="196" t="n">
        <f aca="false">Model!AF199</f>
        <v>1490296.01247225</v>
      </c>
      <c r="AI60" s="196" t="n">
        <f aca="false">Model!AG199</f>
        <v>1532047.41551589</v>
      </c>
      <c r="AJ60" s="196" t="n">
        <f aca="false">Model!AH199</f>
        <v>1617018.19019074</v>
      </c>
      <c r="AK60" s="196" t="n">
        <f aca="false">Model!AI199</f>
        <v>1469063.77282632</v>
      </c>
      <c r="AL60" s="196" t="n">
        <f aca="false">Model!AJ199</f>
        <v>1370405.0486371</v>
      </c>
      <c r="AM60" s="196" t="n">
        <f aca="false">Model!AK199</f>
        <v>1333705.41418943</v>
      </c>
      <c r="AN60" s="196" t="n">
        <f aca="false">Model!AL199</f>
        <v>1438069.37418943</v>
      </c>
      <c r="AO60" s="196" t="n">
        <f aca="false">Model!AM199</f>
        <v>1558104.31418942</v>
      </c>
      <c r="AP60" s="196" t="n">
        <f aca="false">Model!AN199</f>
        <v>1627325.31629418</v>
      </c>
      <c r="AQ60" s="196" t="n">
        <f aca="false">Model!AO199</f>
        <v>1589671.25438468</v>
      </c>
      <c r="AR60" s="196" t="n">
        <f aca="false">Model!AP199</f>
        <v>1214025.10200143</v>
      </c>
      <c r="AS60" s="196" t="n">
        <f aca="false">Model!AQ199</f>
        <v>1623308.49978468</v>
      </c>
      <c r="AT60" s="196" t="n">
        <f aca="false">Model!AR199</f>
        <v>1623308.49978468</v>
      </c>
      <c r="AU60" s="196" t="n">
        <f aca="false">Model!AS199</f>
        <v>1623308.49978468</v>
      </c>
      <c r="AV60" s="196" t="n">
        <f aca="false">Model!AT199</f>
        <v>1731660.39978468</v>
      </c>
      <c r="AW60" s="196" t="n">
        <f aca="false">Model!AU199</f>
        <v>1773955.74802752</v>
      </c>
      <c r="AX60" s="196" t="n">
        <f aca="false">Model!AV199</f>
        <v>1866824.93027926</v>
      </c>
      <c r="AY60" s="196" t="n">
        <f aca="false">Model!AW199</f>
        <v>1421765.14086855</v>
      </c>
      <c r="AZ60" s="196" t="n">
        <f aca="false">Model!AX199</f>
        <v>1421765.14086855</v>
      </c>
      <c r="BA60" s="196" t="n">
        <f aca="false">Model!AY199</f>
        <v>1530117.04086855</v>
      </c>
      <c r="BB60" s="196" t="n">
        <f aca="false">Model!AZ199</f>
        <v>1512058.39086855</v>
      </c>
      <c r="BC60" s="196" t="n">
        <f aca="false">Model!BA199</f>
        <v>1493999.74086855</v>
      </c>
      <c r="BD60" s="196" t="n">
        <f aca="false">Model!BB199</f>
        <v>1228174.61771584</v>
      </c>
      <c r="BE60" s="196" t="n">
        <f aca="false">Model!BC199</f>
        <v>1493999.74086855</v>
      </c>
      <c r="BF60" s="196" t="n">
        <f aca="false">Model!BD199</f>
        <v>1512058.39086855</v>
      </c>
      <c r="BG60" s="196" t="n">
        <f aca="false">Model!BE199</f>
        <v>1530117.04086855</v>
      </c>
      <c r="BH60" s="196" t="n">
        <f aca="false">Model!BF199</f>
        <v>1493999.74086855</v>
      </c>
      <c r="BI60" s="196" t="n">
        <f aca="false">Model!BG199</f>
        <v>1512058.39086855</v>
      </c>
      <c r="BJ60" s="196" t="n">
        <f aca="false">Model!BH199</f>
        <v>1513228.19277144</v>
      </c>
      <c r="BK60" s="196" t="n">
        <f aca="false">Model!BI199</f>
        <v>1246046.85</v>
      </c>
      <c r="BL60" s="196" t="n">
        <f aca="false">Model!BJ199</f>
        <v>1065460.35</v>
      </c>
      <c r="BM60" s="196" t="n">
        <f aca="false">Model!BK199</f>
        <v>1065460.35</v>
      </c>
      <c r="BN60" s="196" t="n">
        <f aca="false">Model!BL199</f>
        <v>1065460.35</v>
      </c>
      <c r="BO60" s="196" t="n">
        <f aca="false">Model!BM199</f>
        <v>1173812.25</v>
      </c>
      <c r="BP60" s="196" t="n">
        <f aca="false">Model!BN199</f>
        <v>1047401.7</v>
      </c>
      <c r="BQ60" s="196" t="n">
        <f aca="false">Model!BO199</f>
        <v>866815.199999999</v>
      </c>
      <c r="BR60" s="196" t="n">
        <f aca="false">Model!BP199</f>
        <v>866815.2</v>
      </c>
      <c r="BS60" s="196" t="n">
        <f aca="false">Model!BQ199</f>
        <v>866815.2</v>
      </c>
      <c r="BT60" s="196" t="n">
        <f aca="false">Model!BR199</f>
        <v>957108.45</v>
      </c>
      <c r="BU60" s="196" t="n">
        <f aca="false">Model!BS199</f>
        <v>884873.85</v>
      </c>
      <c r="BV60" s="196" t="n">
        <f aca="false">Model!BT199</f>
        <v>758463.3</v>
      </c>
      <c r="BW60" s="196" t="n">
        <f aca="false">Model!BU199</f>
        <v>668170.05</v>
      </c>
      <c r="BX60" s="196" t="n">
        <f aca="false">Model!BV199</f>
        <v>595935.45</v>
      </c>
      <c r="BY60" s="196" t="n">
        <f aca="false">Model!BW199</f>
        <v>469524.9</v>
      </c>
      <c r="BZ60" s="196" t="n">
        <f aca="false">Model!BX199</f>
        <v>379231.65</v>
      </c>
      <c r="CA60" s="196" t="n">
        <f aca="false">Model!BY199</f>
        <v>306997.05</v>
      </c>
      <c r="CB60" s="196" t="n">
        <f aca="false">Model!BZ199</f>
        <v>180586.5</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608</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0.0924583805831464</v>
      </c>
      <c r="L61" s="201" t="n">
        <f aca="false">IFERROR(L60/L56,0)</f>
        <v>0.0538901804140071</v>
      </c>
      <c r="M61" s="201" t="n">
        <f aca="false">IFERROR(M60/M56,0)</f>
        <v>0.086396686938628</v>
      </c>
      <c r="N61" s="201" t="n">
        <f aca="false">IFERROR(N60/N56,0)</f>
        <v>0.0946991097589387</v>
      </c>
      <c r="O61" s="201" t="n">
        <f aca="false">IFERROR(O60/O56,0)</f>
        <v>0.0501238186182672</v>
      </c>
      <c r="P61" s="201" t="n">
        <f aca="false">IFERROR(P60/P56,0)</f>
        <v>0.122826745806229</v>
      </c>
      <c r="Q61" s="201" t="n">
        <f aca="false">IFERROR(Q60/Q56,0)</f>
        <v>0.124129099190392</v>
      </c>
      <c r="R61" s="201" t="n">
        <f aca="false">IFERROR(R60/R56,0)</f>
        <v>0.116006077873552</v>
      </c>
      <c r="S61" s="201" t="n">
        <f aca="false">IFERROR(S60/S56,0)</f>
        <v>0.0758031788005186</v>
      </c>
      <c r="T61" s="201" t="n">
        <f aca="false">IFERROR(T60/T56,0)</f>
        <v>0.0937290902340687</v>
      </c>
      <c r="U61" s="201" t="n">
        <f aca="false">IFERROR(U60/U56,0)</f>
        <v>0.0359138813165763</v>
      </c>
      <c r="V61" s="201" t="n">
        <f aca="false">IFERROR(V60/V56,0)</f>
        <v>0.114265243075185</v>
      </c>
      <c r="W61" s="201" t="n">
        <f aca="false">IFERROR(W60/W56,0)</f>
        <v>0.108284166578455</v>
      </c>
      <c r="X61" s="201" t="n">
        <f aca="false">IFERROR(X60/X56,0)</f>
        <v>0.0894485517927199</v>
      </c>
      <c r="Y61" s="201" t="n">
        <f aca="false">IFERROR(Y60/Y56,0)</f>
        <v>0.0882233418233864</v>
      </c>
      <c r="Z61" s="201" t="n">
        <f aca="false">IFERROR(Z60/Z56,0)</f>
        <v>0.111594658482304</v>
      </c>
      <c r="AA61" s="201" t="n">
        <f aca="false">IFERROR(AA60/AA56,0)</f>
        <v>0.106134166159855</v>
      </c>
      <c r="AB61" s="201" t="n">
        <f aca="false">IFERROR(AB60/AB56,0)</f>
        <v>0.104042754948163</v>
      </c>
      <c r="AC61" s="201" t="n">
        <f aca="false">IFERROR(AC60/AC56,0)</f>
        <v>0.101199712649416</v>
      </c>
      <c r="AD61" s="201" t="n">
        <f aca="false">IFERROR(AD60/AD56,0)</f>
        <v>0.10357999257087</v>
      </c>
      <c r="AE61" s="201" t="n">
        <f aca="false">IFERROR(AE60/AE56,0)</f>
        <v>0.101654821903779</v>
      </c>
      <c r="AF61" s="201" t="n">
        <f aca="false">IFERROR(AF60/AF56,0)</f>
        <v>0.102262608670039</v>
      </c>
      <c r="AG61" s="201" t="n">
        <f aca="false">IFERROR(AG60/AG56,0)</f>
        <v>0.0499093182907536</v>
      </c>
      <c r="AH61" s="201" t="n">
        <f aca="false">IFERROR(AH60/AH56,0)</f>
        <v>0.123178980949761</v>
      </c>
      <c r="AI61" s="201" t="n">
        <f aca="false">IFERROR(AI60/AI56,0)</f>
        <v>0.118968731377725</v>
      </c>
      <c r="AJ61" s="201" t="n">
        <f aca="false">IFERROR(AJ60/AJ56,0)</f>
        <v>0.126077285009648</v>
      </c>
      <c r="AK61" s="201" t="n">
        <f aca="false">IFERROR(AK60/AK56,0)</f>
        <v>0.115854119398897</v>
      </c>
      <c r="AL61" s="201" t="n">
        <f aca="false">IFERROR(AL60/AL56,0)</f>
        <v>0.113173210635402</v>
      </c>
      <c r="AM61" s="201" t="n">
        <f aca="false">IFERROR(AM60/AM56,0)</f>
        <v>0.113479453584393</v>
      </c>
      <c r="AN61" s="201" t="n">
        <f aca="false">IFERROR(AN60/AN56,0)</f>
        <v>0.115316943056146</v>
      </c>
      <c r="AO61" s="201" t="n">
        <f aca="false">IFERROR(AO60/AO56,0)</f>
        <v>0.117493310250502</v>
      </c>
      <c r="AP61" s="201" t="n">
        <f aca="false">IFERROR(AP60/AP56,0)</f>
        <v>0.125037755726238</v>
      </c>
      <c r="AQ61" s="201" t="n">
        <f aca="false">IFERROR(AQ60/AQ56,0)</f>
        <v>0.121866401543784</v>
      </c>
      <c r="AR61" s="201" t="n">
        <f aca="false">IFERROR(AR60/AR56,0)</f>
        <v>0.0895243124169863</v>
      </c>
      <c r="AS61" s="201" t="n">
        <f aca="false">IFERROR(AS60/AS56,0)</f>
        <v>0.117465444060483</v>
      </c>
      <c r="AT61" s="201" t="n">
        <f aca="false">IFERROR(AT60/AT56,0)</f>
        <v>0.113732553374092</v>
      </c>
      <c r="AU61" s="201" t="n">
        <f aca="false">IFERROR(AU60/AU56,0)</f>
        <v>0.111604279264149</v>
      </c>
      <c r="AV61" s="201" t="n">
        <f aca="false">IFERROR(AV60/AV56,0)</f>
        <v>0.11847694309876</v>
      </c>
      <c r="AW61" s="201" t="n">
        <f aca="false">IFERROR(AW60/AW56,0)</f>
        <v>0.121715975864338</v>
      </c>
      <c r="AX61" s="201" t="n">
        <f aca="false">IFERROR(AX60/AX56,0)</f>
        <v>0.126004102717215</v>
      </c>
      <c r="AY61" s="201" t="n">
        <f aca="false">IFERROR(AY60/AY56,0)</f>
        <v>0.102175883807562</v>
      </c>
      <c r="AZ61" s="201" t="n">
        <f aca="false">IFERROR(AZ60/AZ56,0)</f>
        <v>0.104952843551079</v>
      </c>
      <c r="BA61" s="201" t="n">
        <f aca="false">IFERROR(BA60/BA56,0)</f>
        <v>0.117684748993385</v>
      </c>
      <c r="BB61" s="201" t="n">
        <f aca="false">IFERROR(BB60/BB56,0)</f>
        <v>0.122665255463964</v>
      </c>
      <c r="BC61" s="201" t="n">
        <f aca="false">IFERROR(BC60/BC56,0)</f>
        <v>0.126719532569899</v>
      </c>
      <c r="BD61" s="201" t="n">
        <f aca="false">IFERROR(BD60/BD56,0)</f>
        <v>0.108326694104081</v>
      </c>
      <c r="BE61" s="201" t="n">
        <f aca="false">IFERROR(BE60/BE56,0)</f>
        <v>0.136113265752294</v>
      </c>
      <c r="BF61" s="201" t="n">
        <f aca="false">IFERROR(BF60/BF56,0)</f>
        <v>0.139980532019807</v>
      </c>
      <c r="BG61" s="201" t="n">
        <f aca="false">IFERROR(BG60/BG56,0)</f>
        <v>0.143202294413868</v>
      </c>
      <c r="BH61" s="201" t="n">
        <f aca="false">IFERROR(BH60/BH56,0)</f>
        <v>0.140576412637835</v>
      </c>
      <c r="BI61" s="201" t="n">
        <f aca="false">IFERROR(BI60/BI56,0)</f>
        <v>0.139439809317718</v>
      </c>
      <c r="BJ61" s="201" t="n">
        <f aca="false">IFERROR(BJ60/BJ56,0)</f>
        <v>0.136320147316772</v>
      </c>
      <c r="BK61" s="201" t="n">
        <f aca="false">IFERROR(BK60/BK56,0)</f>
        <v>0.119723705180603</v>
      </c>
      <c r="BL61" s="201" t="n">
        <f aca="false">IFERROR(BL60/BL56,0)</f>
        <v>0.102279369286709</v>
      </c>
      <c r="BM61" s="201" t="n">
        <f aca="false">IFERROR(BM60/BM56,0)</f>
        <v>0.0999036135698816</v>
      </c>
      <c r="BN61" s="201" t="n">
        <f aca="false">IFERROR(BN60/BN56,0)</f>
        <v>0.099234977426113</v>
      </c>
      <c r="BO61" s="201" t="n">
        <f aca="false">IFERROR(BO60/BO56,0)</f>
        <v>0.110481303037037</v>
      </c>
      <c r="BP61" s="201" t="n">
        <f aca="false">IFERROR(BP60/BP56,0)</f>
        <v>0.105239330669297</v>
      </c>
      <c r="BQ61" s="201" t="n">
        <f aca="false">IFERROR(BQ60/BQ56,0)</f>
        <v>0.0936285020555675</v>
      </c>
      <c r="BR61" s="201" t="n">
        <f aca="false">IFERROR(BR60/BR56,0)</f>
        <v>0.0986870795512299</v>
      </c>
      <c r="BS61" s="201" t="n">
        <f aca="false">IFERROR(BS60/BS56,0)</f>
        <v>0.10623805486288</v>
      </c>
      <c r="BT61" s="201" t="n">
        <f aca="false">IFERROR(BT60/BT56,0)</f>
        <v>0.128981248494042</v>
      </c>
      <c r="BU61" s="201" t="n">
        <f aca="false">IFERROR(BU60/BU56,0)</f>
        <v>0.140614793545671</v>
      </c>
      <c r="BV61" s="201" t="n">
        <f aca="false">IFERROR(BV60/BV56,0)</f>
        <v>0.147568216879158</v>
      </c>
      <c r="BW61" s="201" t="n">
        <f aca="false">IFERROR(BW60/BW56,0)</f>
        <v>0.161917146660327</v>
      </c>
      <c r="BX61" s="201" t="n">
        <f aca="false">IFERROR(BX60/BX56,0)</f>
        <v>0.186542461631791</v>
      </c>
      <c r="BY61" s="201" t="n">
        <f aca="false">IFERROR(BY60/BY56,0)</f>
        <v>0.204494591960196</v>
      </c>
      <c r="BZ61" s="201" t="n">
        <f aca="false">IFERROR(BZ60/BZ56,0)</f>
        <v>0.240068197226912</v>
      </c>
      <c r="CA61" s="201" t="n">
        <f aca="false">IFERROR(CA60/CA56,0)</f>
        <v>0.316909667489401</v>
      </c>
      <c r="CB61" s="201" t="n">
        <f aca="false">IFERROR(CB60/CB56,0)</f>
        <v>0.454014405852849</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609</v>
      </c>
      <c r="G62" s="196" t="n">
        <f aca="false">IF(G61&gt;0,G59/G61,"n/m")</f>
        <v>2223019.11547314</v>
      </c>
      <c r="H62" s="196" t="n">
        <f aca="false">IF(H61&gt;0,H59/H61,"n/m")</f>
        <v>6525811.46863721</v>
      </c>
      <c r="I62" s="196" t="n">
        <f aca="false">IF(I61&gt;0,I59/I61,"n/m")</f>
        <v>4595428.88266674</v>
      </c>
      <c r="J62" s="196" t="n">
        <f aca="false">IF(J61&gt;0,J59/J61,"n/m")</f>
        <v>2060015.49232854</v>
      </c>
      <c r="K62" s="196" t="n">
        <f aca="false">IF(K61&gt;0,K59/K61,"n/m")</f>
        <v>6160376.55437613</v>
      </c>
      <c r="L62" s="196" t="n">
        <f aca="false">IF(L61&gt;0,L59/L61,"n/m")</f>
        <v>11109253.9568561</v>
      </c>
      <c r="M62" s="196" t="n">
        <f aca="false">IF(M61&gt;0,M59/M61,"n/m")</f>
        <v>6759731.7716769</v>
      </c>
      <c r="N62" s="196" t="n">
        <f aca="false">IF(N61&gt;0,N59/N61,"n/m")</f>
        <v>6167095.24675908</v>
      </c>
      <c r="O62" s="196" t="n">
        <f aca="false">IF(O61&gt;0,O59/O61,"n/m")</f>
        <v>13506047.5903157</v>
      </c>
      <c r="P62" s="196" t="n">
        <f aca="false">IF(P61&gt;0,P59/P61,"n/m")</f>
        <v>5115584.38575952</v>
      </c>
      <c r="Q62" s="196" t="n">
        <f aca="false">IF(Q61&gt;0,Q59/Q61,"n/m")</f>
        <v>5744054.67896273</v>
      </c>
      <c r="R62" s="196" t="n">
        <f aca="false">IF(R61&gt;0,R59/R61,"n/m")</f>
        <v>5793914.81308961</v>
      </c>
      <c r="S62" s="196" t="n">
        <f aca="false">IF(S61&gt;0,S59/S61,"n/m")</f>
        <v>9393616.0848063</v>
      </c>
      <c r="T62" s="196" t="n">
        <f aca="false">IF(T61&gt;0,T59/T61,"n/m")</f>
        <v>8129512.22248222</v>
      </c>
      <c r="U62" s="196" t="n">
        <f aca="false">IF(U61&gt;0,U59/U61,"n/m")</f>
        <v>21658646.493911</v>
      </c>
      <c r="V62" s="196" t="n">
        <f aca="false">IF(V61&gt;0,V59/V61,"n/m")</f>
        <v>6639998.6491148</v>
      </c>
      <c r="W62" s="196" t="n">
        <f aca="false">IF(W61&gt;0,W59/W61,"n/m")</f>
        <v>7006759.00857846</v>
      </c>
      <c r="X62" s="196" t="n">
        <f aca="false">IF(X61&gt;0,X59/X61,"n/m")</f>
        <v>8482206.18952213</v>
      </c>
      <c r="Y62" s="196" t="n">
        <f aca="false">IF(Y61&gt;0,Y59/Y61,"n/m")</f>
        <v>8600003.62691858</v>
      </c>
      <c r="Z62" s="196" t="n">
        <f aca="false">IF(Z61&gt;0,Z59/Z61,"n/m")</f>
        <v>6798901.21963419</v>
      </c>
      <c r="AA62" s="196" t="n">
        <f aca="false">IF(AA61&gt;0,AA59/AA61,"n/m")</f>
        <v>7738195.11497374</v>
      </c>
      <c r="AB62" s="196" t="n">
        <f aca="false">IF(AB61&gt;0,AB59/AB61,"n/m")</f>
        <v>7292396.86163653</v>
      </c>
      <c r="AC62" s="196" t="n">
        <f aca="false">IF(AC61&gt;0,AC59/AC61,"n/m")</f>
        <v>7497264.96050856</v>
      </c>
      <c r="AD62" s="196" t="n">
        <f aca="false">IF(AD61&gt;0,AD59/AD61,"n/m")</f>
        <v>7324976.96542004</v>
      </c>
      <c r="AE62" s="196" t="n">
        <f aca="false">IF(AE61&gt;0,AE59/AE61,"n/m")</f>
        <v>8049325.21182041</v>
      </c>
      <c r="AF62" s="196" t="n">
        <f aca="false">IF(AF61&gt;0,AF59/AF61,"n/m")</f>
        <v>7561441.3802818</v>
      </c>
      <c r="AG62" s="196" t="n">
        <f aca="false">IF(AG61&gt;0,AG59/AG61,"n/m")</f>
        <v>15493153.3295749</v>
      </c>
      <c r="AH62" s="196" t="n">
        <f aca="false">IF(AH61&gt;0,AH59/AH61,"n/m")</f>
        <v>6277472.94945208</v>
      </c>
      <c r="AI62" s="196" t="n">
        <f aca="false">IF(AI61&gt;0,AI59/AI61,"n/m")</f>
        <v>6679821.23664127</v>
      </c>
      <c r="AJ62" s="196" t="n">
        <f aca="false">IF(AJ61&gt;0,AJ59/AJ61,"n/m")</f>
        <v>6585760.93457011</v>
      </c>
      <c r="AK62" s="196" t="n">
        <f aca="false">IF(AK61&gt;0,AK59/AK61,"n/m")</f>
        <v>7166899.74134061</v>
      </c>
      <c r="AL62" s="196" t="n">
        <f aca="false">IF(AL61&gt;0,AL59/AL61,"n/m")</f>
        <v>7270403.07271984</v>
      </c>
      <c r="AM62" s="196" t="n">
        <f aca="false">IF(AM61&gt;0,AM59/AM61,"n/m")</f>
        <v>7250782.69557655</v>
      </c>
      <c r="AN62" s="196" t="n">
        <f aca="false">IF(AN61&gt;0,AN59/AN61,"n/m")</f>
        <v>7135246.8817404</v>
      </c>
      <c r="AO62" s="196" t="n">
        <f aca="false">IF(AO61&gt;0,AO59/AO61,"n/m")</f>
        <v>7003078.35909054</v>
      </c>
      <c r="AP62" s="196" t="n">
        <f aca="false">IF(AP61&gt;0,AP59/AP61,"n/m")</f>
        <v>6983403.75898134</v>
      </c>
      <c r="AQ62" s="196" t="n">
        <f aca="false">IF(AQ61&gt;0,AQ59/AQ61,"n/m")</f>
        <v>7440188.93020732</v>
      </c>
      <c r="AR62" s="196" t="n">
        <f aca="false">IF(AR61&gt;0,AR59/AR61,"n/m")</f>
        <v>9914447.01184719</v>
      </c>
      <c r="AS62" s="196" t="n">
        <f aca="false">IF(AS61&gt;0,AS59/AS61,"n/m")</f>
        <v>7619977.59332001</v>
      </c>
      <c r="AT62" s="196" t="n">
        <f aca="false">IF(AT61&gt;0,AT59/AT61,"n/m")</f>
        <v>7804133.69258313</v>
      </c>
      <c r="AU62" s="196" t="n">
        <f aca="false">IF(AU61&gt;0,AU59/AU61,"n/m")</f>
        <v>7616948.53759372</v>
      </c>
      <c r="AV62" s="196" t="n">
        <f aca="false">IF(AV61&gt;0,AV59/AV61,"n/m")</f>
        <v>8545865.16229653</v>
      </c>
      <c r="AW62" s="196" t="n">
        <f aca="false">IF(AW61&gt;0,AW59/AW61,"n/m")</f>
        <v>8009475.53345158</v>
      </c>
      <c r="AX62" s="196" t="n">
        <f aca="false">IF(AX61&gt;0,AX59/AX61,"n/m")</f>
        <v>7103610.37798158</v>
      </c>
      <c r="AY62" s="196" t="n">
        <f aca="false">IF(AY61&gt;0,AY59/AY61,"n/m")</f>
        <v>9486250.72385746</v>
      </c>
      <c r="AZ62" s="196" t="n">
        <f aca="false">IF(AZ61&gt;0,AZ59/AZ61,"n/m")</f>
        <v>8073040.30650585</v>
      </c>
      <c r="BA62" s="196" t="n">
        <f aca="false">IF(BA61&gt;0,BA59/BA61,"n/m")</f>
        <v>7819982.64618306</v>
      </c>
      <c r="BB62" s="196" t="n">
        <f aca="false">IF(BB61&gt;0,BB59/BB61,"n/m")</f>
        <v>8175503.76041617</v>
      </c>
      <c r="BC62" s="196" t="n">
        <f aca="false">IF(BC61&gt;0,BC59/BC61,"n/m")</f>
        <v>7472062.85615034</v>
      </c>
      <c r="BD62" s="196" t="n">
        <f aca="false">IF(BD61&gt;0,BD59/BD61,"n/m")</f>
        <v>8723958.4045475</v>
      </c>
      <c r="BE62" s="196" t="n">
        <f aca="false">IF(BE61&gt;0,BE59/BE61,"n/m")</f>
        <v>13486105.2580781</v>
      </c>
      <c r="BF62" s="196" t="n">
        <f aca="false">IF(BF61&gt;0,BF59/BF61,"n/m")</f>
        <v>6383757.60287879</v>
      </c>
      <c r="BG62" s="196" t="n">
        <f aca="false">IF(BG61&gt;0,BG59/BG61,"n/m")</f>
        <v>6496949.03611568</v>
      </c>
      <c r="BH62" s="196" t="n">
        <f aca="false">IF(BH61&gt;0,BH59/BH61,"n/m")</f>
        <v>7294425.18092115</v>
      </c>
      <c r="BI62" s="196" t="n">
        <f aca="false">IF(BI61&gt;0,BI59/BI61,"n/m")</f>
        <v>6417232.20611323</v>
      </c>
      <c r="BJ62" s="196" t="n">
        <f aca="false">IF(BJ61&gt;0,BJ59/BJ61,"n/m")</f>
        <v>6832980.76757737</v>
      </c>
      <c r="BK62" s="196" t="n">
        <f aca="false">IF(BK61&gt;0,BK59/BK61,"n/m")</f>
        <v>8569176.83843577</v>
      </c>
      <c r="BL62" s="196" t="n">
        <f aca="false">IF(BL61&gt;0,BL59/BL61,"n/m")</f>
        <v>7798953.04480648</v>
      </c>
      <c r="BM62" s="196" t="n">
        <f aca="false">IF(BM61&gt;0,BM59/BM61,"n/m")</f>
        <v>7953872.1809541</v>
      </c>
      <c r="BN62" s="196" t="n">
        <f aca="false">IF(BN61&gt;0,BN59/BN61,"n/m")</f>
        <v>9225543.21566624</v>
      </c>
      <c r="BO62" s="196" t="n">
        <f aca="false">IF(BO61&gt;0,BO59/BO61,"n/m")</f>
        <v>7974033.47681093</v>
      </c>
      <c r="BP62" s="196" t="n">
        <f aca="false">IF(BP61&gt;0,BP59/BP61,"n/m")</f>
        <v>7945133.09828972</v>
      </c>
      <c r="BQ62" s="196" t="n">
        <f aca="false">IF(BQ61&gt;0,BQ59/BQ61,"n/m")</f>
        <v>9434903.18013261</v>
      </c>
      <c r="BR62" s="196" t="n">
        <f aca="false">IF(BR61&gt;0,BR59/BR61,"n/m")</f>
        <v>7142305.96960872</v>
      </c>
      <c r="BS62" s="196" t="n">
        <f aca="false">IF(BS61&gt;0,BS59/BS61,"n/m")</f>
        <v>6397121.88887037</v>
      </c>
      <c r="BT62" s="196" t="n">
        <f aca="false">IF(BT61&gt;0,BT59/BT61,"n/m")</f>
        <v>6276638.80535315</v>
      </c>
      <c r="BU62" s="196" t="n">
        <f aca="false">IF(BU61&gt;0,BU59/BU61,"n/m")</f>
        <v>5318372.03875703</v>
      </c>
      <c r="BV62" s="196" t="n">
        <f aca="false">IF(BV61&gt;0,BV59/BV61,"n/m")</f>
        <v>4833640.23202783</v>
      </c>
      <c r="BW62" s="196" t="n">
        <f aca="false">IF(BW61&gt;0,BW59/BW61,"n/m")</f>
        <v>4728869.59563424</v>
      </c>
      <c r="BX62" s="196" t="n">
        <f aca="false">IF(BX61&gt;0,BX59/BX61,"n/m")</f>
        <v>3719279.93832016</v>
      </c>
      <c r="BY62" s="196" t="n">
        <f aca="false">IF(BY61&gt;0,BY59/BY61,"n/m")</f>
        <v>3223223.33143251</v>
      </c>
      <c r="BZ62" s="196" t="n">
        <f aca="false">IF(BZ61&gt;0,BZ59/BZ61,"n/m")</f>
        <v>3017059.58055248</v>
      </c>
      <c r="CA62" s="196" t="n">
        <f aca="false">IF(CA61&gt;0,CA59/CA61,"n/m")</f>
        <v>2124941.93514097</v>
      </c>
      <c r="CB62" s="196" t="n">
        <f aca="false">IF(CB61&gt;0,CB59/CB61,"n/m")</f>
        <v>1400586.47384027</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610</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-95643.5743761258</v>
      </c>
      <c r="L63" s="201" t="n">
        <f aca="false">IF(ISNUMBER(L62),L56-L62,L60-L59)</f>
        <v>-4728371.90685615</v>
      </c>
      <c r="M63" s="201" t="n">
        <f aca="false">IF(ISNUMBER(M62),M56-M62,M60-M59)</f>
        <v>-895775.201676904</v>
      </c>
      <c r="N63" s="201" t="n">
        <f aca="false">IF(ISNUMBER(N62),N56-N62,N60-N59)</f>
        <v>-1437304.42675908</v>
      </c>
      <c r="O63" s="201" t="n">
        <f aca="false">IF(ISNUMBER(O62),O56-O62,O60-O59)</f>
        <v>-8373536.8170313</v>
      </c>
      <c r="P63" s="201" t="n">
        <f aca="false">IF(ISNUMBER(P62),P56-P62,P60-P59)</f>
        <v>1055296.15808816</v>
      </c>
      <c r="Q63" s="201" t="n">
        <f aca="false">IF(ISNUMBER(Q62),Q56-Q62,Q60-Q59)</f>
        <v>597811.954849663</v>
      </c>
      <c r="R63" s="201" t="n">
        <f aca="false">IF(ISNUMBER(R62),R56-R62,R60-R59)</f>
        <v>1151280.01815829</v>
      </c>
      <c r="S63" s="201" t="n">
        <f aca="false">IF(ISNUMBER(S62),S56-S62,S60-S59)</f>
        <v>-1914625.80273159</v>
      </c>
      <c r="T63" s="201" t="n">
        <f aca="false">IF(ISNUMBER(T62),T56-T62,T60-T59)</f>
        <v>-116392.988229006</v>
      </c>
      <c r="U63" s="201" t="n">
        <f aca="false">IF(ISNUMBER(U62),U56-U62,U60-U59)</f>
        <v>-12360487.6006189</v>
      </c>
      <c r="V63" s="201" t="n">
        <f aca="false">IF(ISNUMBER(V62),V56-V62,V60-V59)</f>
        <v>4031213.37306653</v>
      </c>
      <c r="W63" s="201" t="n">
        <f aca="false">IF(ISNUMBER(W62),W56-W62,W60-W59)</f>
        <v>3296193.03762921</v>
      </c>
      <c r="X63" s="201" t="n">
        <f aca="false">IF(ISNUMBER(X62),X56-X62,X60-X59)</f>
        <v>3090020.90184683</v>
      </c>
      <c r="Y63" s="201" t="n">
        <f aca="false">IF(ISNUMBER(Y62),Y56-Y62,Y60-Y59)</f>
        <v>2140566.09737268</v>
      </c>
      <c r="Z63" s="201" t="n">
        <f aca="false">IF(ISNUMBER(Z62),Z56-Z62,Z60-Z59)</f>
        <v>6287644.45151569</v>
      </c>
      <c r="AA63" s="201" t="n">
        <f aca="false">IF(ISNUMBER(AA62),AA56-AA62,AA60-AA59)</f>
        <v>4292442.34216603</v>
      </c>
      <c r="AB63" s="201" t="n">
        <f aca="false">IF(ISNUMBER(AB62),AB56-AB62,AB60-AB59)</f>
        <v>5940515.66140274</v>
      </c>
      <c r="AC63" s="201" t="n">
        <f aca="false">IF(ISNUMBER(AC62),AC56-AC62,AC60-AC59)</f>
        <v>5216424.645926</v>
      </c>
      <c r="AD63" s="201" t="n">
        <f aca="false">IF(ISNUMBER(AD62),AD56-AD62,AD60-AD59)</f>
        <v>4809020.47646154</v>
      </c>
      <c r="AE63" s="201" t="n">
        <f aca="false">IF(ISNUMBER(AE62),AE56-AE62,AE60-AE59)</f>
        <v>3367767.48628707</v>
      </c>
      <c r="AF63" s="201" t="n">
        <f aca="false">IF(ISNUMBER(AF62),AF56-AF62,AF60-AF59)</f>
        <v>4008462.61759741</v>
      </c>
      <c r="AG63" s="201" t="n">
        <f aca="false">IF(ISNUMBER(AG62),AG56-AG62,AG60-AG59)</f>
        <v>-3490614.25845101</v>
      </c>
      <c r="AH63" s="201" t="n">
        <f aca="false">IF(ISNUMBER(AH62),AH56-AH62,AH60-AH59)</f>
        <v>5821149.72936409</v>
      </c>
      <c r="AI63" s="201" t="n">
        <f aca="false">IF(ISNUMBER(AI62),AI56-AI62,AI60-AI59)</f>
        <v>6197910.56543744</v>
      </c>
      <c r="AJ63" s="201" t="n">
        <f aca="false">IF(ISNUMBER(AJ62),AJ56-AJ62,AJ60-AJ59)</f>
        <v>6239849.88078813</v>
      </c>
      <c r="AK63" s="201" t="n">
        <f aca="false">IF(ISNUMBER(AK62),AK56-AK62,AK60-AK59)</f>
        <v>5513389.75072471</v>
      </c>
      <c r="AL63" s="201" t="n">
        <f aca="false">IF(ISNUMBER(AL62),AL56-AL62,AL60-AL59)</f>
        <v>4838514.23149962</v>
      </c>
      <c r="AM63" s="201" t="n">
        <f aca="false">IF(ISNUMBER(AM62),AM56-AM62,AM60-AM59)</f>
        <v>4502053.36472021</v>
      </c>
      <c r="AN63" s="201" t="n">
        <f aca="false">IF(ISNUMBER(AN62),AN56-AN62,AN60-AN59)</f>
        <v>5335334.94325003</v>
      </c>
      <c r="AO63" s="201" t="n">
        <f aca="false">IF(ISNUMBER(AO62),AO56-AO62,AO60-AO59)</f>
        <v>6258138.90398142</v>
      </c>
      <c r="AP63" s="201" t="n">
        <f aca="false">IF(ISNUMBER(AP62),AP56-AP62,AP60-AP59)</f>
        <v>6031267.74437722</v>
      </c>
      <c r="AQ63" s="201" t="n">
        <f aca="false">IF(ISNUMBER(AQ62),AQ56-AQ62,AQ60-AQ59)</f>
        <v>5604187.81553206</v>
      </c>
      <c r="AR63" s="201" t="n">
        <f aca="false">IF(ISNUMBER(AR62),AR56-AR62,AR60-AR59)</f>
        <v>3646395.50372268</v>
      </c>
      <c r="AS63" s="201" t="n">
        <f aca="false">IF(ISNUMBER(AS62),AS56-AS62,AS60-AS59)</f>
        <v>6199478.10080599</v>
      </c>
      <c r="AT63" s="201" t="n">
        <f aca="false">IF(ISNUMBER(AT62),AT56-AT62,AT60-AT59)</f>
        <v>6468899.41558287</v>
      </c>
      <c r="AU63" s="201" t="n">
        <f aca="false">IF(ISNUMBER(AU62),AU56-AU62,AU60-AU59)</f>
        <v>6928268.81865628</v>
      </c>
      <c r="AV63" s="201" t="n">
        <f aca="false">IF(ISNUMBER(AV62),AV56-AV62,AV60-AV59)</f>
        <v>6070146.64973347</v>
      </c>
      <c r="AW63" s="201" t="n">
        <f aca="false">IF(ISNUMBER(AW62),AW56-AW62,AW60-AW59)</f>
        <v>6565075.87962442</v>
      </c>
      <c r="AX63" s="201" t="n">
        <f aca="false">IF(ISNUMBER(AX62),AX56-AX62,AX60-AX59)</f>
        <v>7711978.08320442</v>
      </c>
      <c r="AY63" s="201" t="n">
        <f aca="false">IF(ISNUMBER(AY62),AY56-AY62,AY60-AY59)</f>
        <v>4428629.06858254</v>
      </c>
      <c r="AZ63" s="201" t="n">
        <f aca="false">IF(ISNUMBER(AZ62),AZ56-AZ62,AZ60-AZ59)</f>
        <v>5473664.03006215</v>
      </c>
      <c r="BA63" s="201" t="n">
        <f aca="false">IF(ISNUMBER(BA62),BA56-BA62,BA60-BA59)</f>
        <v>5181846.85132095</v>
      </c>
      <c r="BB63" s="201" t="n">
        <f aca="false">IF(ISNUMBER(BB62),BB56-BB62,BB60-BB59)</f>
        <v>4151201.01959183</v>
      </c>
      <c r="BC63" s="201" t="n">
        <f aca="false">IF(ISNUMBER(BC62),BC56-BC62,BC60-BC59)</f>
        <v>4317751.31511366</v>
      </c>
      <c r="BD63" s="201" t="n">
        <f aca="false">IF(ISNUMBER(BD62),BD56-BD62,BD60-BD59)</f>
        <v>2613732.8992765</v>
      </c>
      <c r="BE63" s="201" t="n">
        <f aca="false">IF(ISNUMBER(BE62),BE56-BE62,BE60-BE59)</f>
        <v>-2509954.3839421</v>
      </c>
      <c r="BF63" s="201" t="n">
        <f aca="false">IF(ISNUMBER(BF62),BF56-BF62,BF60-BF59)</f>
        <v>4418161.55724121</v>
      </c>
      <c r="BG63" s="201" t="n">
        <f aca="false">IF(ISNUMBER(BG62),BG56-BG62,BG60-BG59)</f>
        <v>4188054.63042032</v>
      </c>
      <c r="BH63" s="201" t="n">
        <f aca="false">IF(ISNUMBER(BH62),BH56-BH62,BH60-BH59)</f>
        <v>3333244.94406285</v>
      </c>
      <c r="BI63" s="201" t="n">
        <f aca="false">IF(ISNUMBER(BI62),BI56-BI62,BI60-BI59)</f>
        <v>4426574.86926277</v>
      </c>
      <c r="BJ63" s="201" t="n">
        <f aca="false">IF(ISNUMBER(BJ62),BJ56-BJ62,BJ60-BJ59)</f>
        <v>4267566.16225463</v>
      </c>
      <c r="BK63" s="201" t="n">
        <f aca="false">IF(ISNUMBER(BK62),BK56-BK62,BK60-BK59)</f>
        <v>1838510.16156423</v>
      </c>
      <c r="BL63" s="201" t="n">
        <f aca="false">IF(ISNUMBER(BL62),BL56-BL62,BL60-BL59)</f>
        <v>2618204.95519352</v>
      </c>
      <c r="BM63" s="201" t="n">
        <f aca="false">IF(ISNUMBER(BM62),BM56-BM62,BM60-BM59)</f>
        <v>2711010.81904591</v>
      </c>
      <c r="BN63" s="201" t="n">
        <f aca="false">IF(ISNUMBER(BN62),BN56-BN62,BN60-BN59)</f>
        <v>1511198.78433376</v>
      </c>
      <c r="BO63" s="201" t="n">
        <f aca="false">IF(ISNUMBER(BO62),BO56-BO62,BO60-BO59)</f>
        <v>2650499.52318907</v>
      </c>
      <c r="BP63" s="201" t="n">
        <f aca="false">IF(ISNUMBER(BP62),BP56-BP62,BP60-BP59)</f>
        <v>2007435.90171027</v>
      </c>
      <c r="BQ63" s="201" t="n">
        <f aca="false">IF(ISNUMBER(BQ62),BQ56-BQ62,BQ60-BQ59)</f>
        <v>-176876.180132607</v>
      </c>
      <c r="BR63" s="201" t="n">
        <f aca="false">IF(ISNUMBER(BR62),BR56-BR62,BR60-BR59)</f>
        <v>1641166.03039128</v>
      </c>
      <c r="BS63" s="201" t="n">
        <f aca="false">IF(ISNUMBER(BS62),BS56-BS62,BS60-BS59)</f>
        <v>1762056.11112963</v>
      </c>
      <c r="BT63" s="201" t="n">
        <f aca="false">IF(ISNUMBER(BT62),BT56-BT62,BT60-BT59)</f>
        <v>1143885.19464685</v>
      </c>
      <c r="BU63" s="201" t="n">
        <f aca="false">IF(ISNUMBER(BU62),BU56-BU62,BU60-BU59)</f>
        <v>974520.961242967</v>
      </c>
      <c r="BV63" s="201" t="n">
        <f aca="false">IF(ISNUMBER(BV62),BV56-BV62,BV60-BV59)</f>
        <v>306106.767972169</v>
      </c>
      <c r="BW63" s="201" t="n">
        <f aca="false">IF(ISNUMBER(BW62),BW56-BW62,BW60-BW59)</f>
        <v>-602252.595634244</v>
      </c>
      <c r="BX63" s="201" t="n">
        <f aca="false">IF(ISNUMBER(BX62),BX56-BX62,BX60-BX59)</f>
        <v>-524642.938320161</v>
      </c>
      <c r="BY63" s="201" t="n">
        <f aca="false">IF(ISNUMBER(BY62),BY56-BY62,BY60-BY59)</f>
        <v>-927197.331432506</v>
      </c>
      <c r="BZ63" s="201" t="n">
        <f aca="false">IF(ISNUMBER(BZ62),BZ56-BZ62,BZ60-BZ59)</f>
        <v>-1437376.58055248</v>
      </c>
      <c r="CA63" s="201" t="n">
        <f aca="false">IF(ISNUMBER(CA62),CA56-CA62,CA60-CA59)</f>
        <v>-1156220.93514097</v>
      </c>
      <c r="CB63" s="201" t="n">
        <f aca="false">IF(ISNUMBER(CB62),CB56-CB62,CB60-CB59)</f>
        <v>-1002831.47384027</v>
      </c>
      <c r="CC63" s="201" t="n">
        <f aca="false">IF(ISNUMBER(CC62),CC56-CC62,CC60-CC59)</f>
        <v>-783682.435766128</v>
      </c>
      <c r="CD63" s="201" t="n">
        <f aca="false">IF(ISNUMBER(CD62),CD56-CD62,CD60-CD59)</f>
        <v>-635886.435766128</v>
      </c>
      <c r="CE63" s="201" t="n">
        <f aca="false">IF(ISNUMBER(CE62),CE56-CE62,CE60-CE59)</f>
        <v>-635886.435766128</v>
      </c>
      <c r="CF63" s="201" t="n">
        <f aca="false">IF(ISNUMBER(CF62),CF56-CF62,CF60-CF59)</f>
        <v>-790404.435766128</v>
      </c>
      <c r="CG63" s="201" t="n">
        <f aca="false">IF(ISNUMBER(CG62),CG56-CG62,CG60-CG59)</f>
        <v>-635886.435766128</v>
      </c>
      <c r="CH63" s="201" t="n">
        <f aca="false">IF(ISNUMBER(CH62),CH56-CH62,CH60-CH59)</f>
        <v>-635886.435766128</v>
      </c>
      <c r="CI63" s="201" t="n">
        <f aca="false">IF(ISNUMBER(CI62),CI56-CI62,CI60-CI59)</f>
        <v>-790403.435766128</v>
      </c>
      <c r="CJ63" s="201" t="n">
        <f aca="false">IF(ISNUMBER(CJ62),CJ56-CJ62,CJ60-CJ59)</f>
        <v>-635886.435766128</v>
      </c>
      <c r="CK63" s="201" t="n">
        <f aca="false">IF(ISNUMBER(CK62),CK56-CK62,CK60-CK59)</f>
        <v>-635886.435766128</v>
      </c>
      <c r="CL63" s="201" t="n">
        <f aca="false">IF(ISNUMBER(CL62),CL56-CL62,CL60-CL59)</f>
        <v>-783795.409159649</v>
      </c>
      <c r="CM63" s="201" t="n">
        <f aca="false">IF(ISNUMBER(CM62),CM56-CM62,CM60-CM59)</f>
        <v>-721116.404481451</v>
      </c>
      <c r="CN63" s="201" t="n">
        <f aca="false">IF(ISNUMBER(CN62),CN56-CN62,CN60-CN59)</f>
        <v>-721116.404481451</v>
      </c>
      <c r="CO63" s="201" t="n">
        <f aca="false">IF(ISNUMBER(CO62),CO56-CO62,CO60-CO59)</f>
        <v>-721116.404481451</v>
      </c>
      <c r="CP63" s="201" t="n">
        <f aca="false">IF(ISNUMBER(CP62),CP56-CP62,CP60-CP59)</f>
        <v>-721116.404481451</v>
      </c>
      <c r="CQ63" s="201" t="n">
        <f aca="false">IF(ISNUMBER(CQ62),CQ56-CQ62,CQ60-CQ59)</f>
        <v>-721116.404481451</v>
      </c>
      <c r="CR63" s="201" t="n">
        <f aca="false">IF(ISNUMBER(CR62),CR56-CR62,CR60-CR59)</f>
        <v>-721116.404481451</v>
      </c>
      <c r="CS63" s="201" t="n">
        <f aca="false">IF(ISNUMBER(CS62),CS56-CS62,CS60-CS59)</f>
        <v>-721116.404481451</v>
      </c>
      <c r="CT63" s="201" t="n">
        <f aca="false">IF(ISNUMBER(CT62),CT56-CT62,CT60-CT59)</f>
        <v>-721116.404481451</v>
      </c>
      <c r="CU63" s="201" t="n">
        <f aca="false">IF(ISNUMBER(CU62),CU56-CU62,CU60-CU59)</f>
        <v>-721116.404481451</v>
      </c>
      <c r="CV63" s="201" t="n">
        <f aca="false">IF(ISNUMBER(CV62),CV56-CV62,CV60-CV59)</f>
        <v>-674852.645441313</v>
      </c>
      <c r="CW63" s="201" t="n">
        <f aca="false">IF(ISNUMBER(CW62),CW56-CW62,CW60-CW59)</f>
        <v>-674852.645441313</v>
      </c>
      <c r="CX63" s="201" t="n">
        <f aca="false">IF(ISNUMBER(CX62),CX56-CX62,CX60-CX59)</f>
        <v>-674852.645441313</v>
      </c>
      <c r="CY63" s="201" t="n">
        <f aca="false">IF(ISNUMBER(CY62),CY56-CY62,CY60-CY59)</f>
        <v>-630535.687286546</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611</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0.984474394782218</v>
      </c>
      <c r="L64" s="202" t="n">
        <f aca="false">IFERROR(L60/L59,"")</f>
        <v>0.574375387832592</v>
      </c>
      <c r="M64" s="202" t="n">
        <f aca="false">IFERROR(M60/M59,"")</f>
        <v>0.867483617407694</v>
      </c>
      <c r="N64" s="202" t="n">
        <f aca="false">IFERROR(N60/N59,"")</f>
        <v>0.766939804032635</v>
      </c>
      <c r="O64" s="202" t="n">
        <f aca="false">IFERROR(O60/O59,"")</f>
        <v>0.38001574768362</v>
      </c>
      <c r="P64" s="202" t="n">
        <f aca="false">IFERROR(P60/P59,"")</f>
        <v>1.20629044083914</v>
      </c>
      <c r="Q64" s="202" t="n">
        <f aca="false">IFERROR(Q60/Q59,"")</f>
        <v>1.10407490670991</v>
      </c>
      <c r="R64" s="202" t="n">
        <f aca="false">IFERROR(R60/R59,"")</f>
        <v>1.19870503024265</v>
      </c>
      <c r="S64" s="202" t="n">
        <f aca="false">IFERROR(S60/S59,"")</f>
        <v>0.796177980295746</v>
      </c>
      <c r="T64" s="202" t="n">
        <f aca="false">IFERROR(T60/T59,"")</f>
        <v>0.985682660282234</v>
      </c>
      <c r="U64" s="202" t="n">
        <f aca="false">IFERROR(U60/U59,"")</f>
        <v>0.429304707286585</v>
      </c>
      <c r="V64" s="202" t="n">
        <f aca="false">IFERROR(V60/V59,"")</f>
        <v>1.60711057126554</v>
      </c>
      <c r="W64" s="202" t="n">
        <f aca="false">IFERROR(W60/W59,"")</f>
        <v>1.47043048484951</v>
      </c>
      <c r="X64" s="202" t="n">
        <f aca="false">IFERROR(X60/X59,"")</f>
        <v>1.36429448103535</v>
      </c>
      <c r="Y64" s="202" t="n">
        <f aca="false">IFERROR(Y60/Y59,"")</f>
        <v>1.24890292960721</v>
      </c>
      <c r="Z64" s="202" t="n">
        <f aca="false">IFERROR(Z60/Z59,"")</f>
        <v>1.92480303043055</v>
      </c>
      <c r="AA64" s="202" t="n">
        <f aca="false">IFERROR(AA60/AA59,"")</f>
        <v>1.55470846604268</v>
      </c>
      <c r="AB64" s="202" t="n">
        <f aca="false">IFERROR(AB60/AB59,"")</f>
        <v>1.81461771405425</v>
      </c>
      <c r="AC64" s="202" t="n">
        <f aca="false">IFERROR(AC60/AC59,"")</f>
        <v>1.69577701647244</v>
      </c>
      <c r="AD64" s="202" t="n">
        <f aca="false">IFERROR(AD60/AD59,"")</f>
        <v>1.65652363129114</v>
      </c>
      <c r="AE64" s="202" t="n">
        <f aca="false">IFERROR(AE60/AE59,"")</f>
        <v>1.4183912809662</v>
      </c>
      <c r="AF64" s="202" t="n">
        <f aca="false">IFERROR(AF60/AF59,"")</f>
        <v>1.53011885115587</v>
      </c>
      <c r="AG64" s="202" t="n">
        <f aca="false">IFERROR(AG60/AG59,"")</f>
        <v>0.774699560238148</v>
      </c>
      <c r="AH64" s="202" t="n">
        <f aca="false">IFERROR(AH60/AH59,"")</f>
        <v>1.92730781577835</v>
      </c>
      <c r="AI64" s="202" t="n">
        <f aca="false">IFERROR(AI60/AI59,"")</f>
        <v>1.92785575330065</v>
      </c>
      <c r="AJ64" s="202" t="n">
        <f aca="false">IFERROR(AJ60/AJ59,"")</f>
        <v>1.94747591702483</v>
      </c>
      <c r="AK64" s="202" t="n">
        <f aca="false">IFERROR(AK60/AK59,"")</f>
        <v>1.76928517904639</v>
      </c>
      <c r="AL64" s="202" t="n">
        <f aca="false">IFERROR(AL60/AL59,"")</f>
        <v>1.66550838833885</v>
      </c>
      <c r="AM64" s="202" t="n">
        <f aca="false">IFERROR(AM60/AM59,"")</f>
        <v>1.62090584613255</v>
      </c>
      <c r="AN64" s="202" t="n">
        <f aca="false">IFERROR(AN60/AN59,"")</f>
        <v>1.74774356538434</v>
      </c>
      <c r="AO64" s="202" t="n">
        <f aca="false">IFERROR(AO60/AO59,"")</f>
        <v>1.89362685708891</v>
      </c>
      <c r="AP64" s="202" t="n">
        <f aca="false">IFERROR(AP60/AP59,"")</f>
        <v>1.86365731562068</v>
      </c>
      <c r="AQ64" s="202" t="n">
        <f aca="false">IFERROR(AQ60/AQ59,"")</f>
        <v>1.75323192301998</v>
      </c>
      <c r="AR64" s="202" t="n">
        <f aca="false">IFERROR(AR60/AR59,"")</f>
        <v>1.36778607010209</v>
      </c>
      <c r="AS64" s="202" t="n">
        <f aca="false">IFERROR(AS60/AS59,"")</f>
        <v>1.8135821956013</v>
      </c>
      <c r="AT64" s="202" t="n">
        <f aca="false">IFERROR(AT60/AT59,"")</f>
        <v>1.82890679099088</v>
      </c>
      <c r="AU64" s="202" t="n">
        <f aca="false">IFERROR(AU60/AU59,"")</f>
        <v>1.90958587739717</v>
      </c>
      <c r="AV64" s="202" t="n">
        <f aca="false">IFERROR(AV60/AV59,"")</f>
        <v>1.7103021794112</v>
      </c>
      <c r="AW64" s="202" t="n">
        <f aca="false">IFERROR(AW60/AW59,"")</f>
        <v>1.81966364117168</v>
      </c>
      <c r="AX64" s="202" t="n">
        <f aca="false">IFERROR(AX60/AX59,"")</f>
        <v>2.08564204296854</v>
      </c>
      <c r="AY64" s="202" t="n">
        <f aca="false">IFERROR(AY60/AY59,"")</f>
        <v>1.46684714514711</v>
      </c>
      <c r="AZ64" s="202" t="n">
        <f aca="false">IFERROR(AZ60/AZ59,"")</f>
        <v>1.67801767639523</v>
      </c>
      <c r="BA64" s="202" t="n">
        <f aca="false">IFERROR(BA60/BA59,"")</f>
        <v>1.66264173282408</v>
      </c>
      <c r="BB64" s="202" t="n">
        <f aca="false">IFERROR(BB60/BB59,"")</f>
        <v>1.50776088437399</v>
      </c>
      <c r="BC64" s="202" t="n">
        <f aca="false">IFERROR(BC60/BC59,"")</f>
        <v>1.57785264902579</v>
      </c>
      <c r="BD64" s="202" t="n">
        <f aca="false">IFERROR(BD60/BD59,"")</f>
        <v>1.29960400750123</v>
      </c>
      <c r="BE64" s="202" t="n">
        <f aca="false">IFERROR(BE60/BE59,"")</f>
        <v>0.813885896935392</v>
      </c>
      <c r="BF64" s="202" t="n">
        <f aca="false">IFERROR(BF60/BF59,"")</f>
        <v>1.69209419155402</v>
      </c>
      <c r="BG64" s="202" t="n">
        <f aca="false">IFERROR(BG60/BG59,"")</f>
        <v>1.64461866749138</v>
      </c>
      <c r="BH64" s="202" t="n">
        <f aca="false">IFERROR(BH60/BH59,"")</f>
        <v>1.45695786321602</v>
      </c>
      <c r="BI64" s="202" t="n">
        <f aca="false">IFERROR(BI60/BI59,"")</f>
        <v>1.68979502799445</v>
      </c>
      <c r="BJ64" s="202" t="n">
        <f aca="false">IFERROR(BJ60/BJ59,"")</f>
        <v>1.6245541012649</v>
      </c>
      <c r="BK64" s="202" t="n">
        <f aca="false">IFERROR(BK60/BK59,"")</f>
        <v>1.21454921472946</v>
      </c>
      <c r="BL64" s="202" t="n">
        <f aca="false">IFERROR(BL60/BL59,"")</f>
        <v>1.33571236294813</v>
      </c>
      <c r="BM64" s="202" t="n">
        <f aca="false">IFERROR(BM60/BM59,"")</f>
        <v>1.34084163755328</v>
      </c>
      <c r="BN64" s="202" t="n">
        <f aca="false">IFERROR(BN60/BN59,"")</f>
        <v>1.16380594063746</v>
      </c>
      <c r="BO64" s="202" t="n">
        <f aca="false">IFERROR(BO60/BO59,"")</f>
        <v>1.33239132126758</v>
      </c>
      <c r="BP64" s="202" t="n">
        <f aca="false">IFERROR(BP60/BP59,"")</f>
        <v>1.25266233766964</v>
      </c>
      <c r="BQ64" s="202" t="n">
        <f aca="false">IFERROR(BQ60/BQ59,"")</f>
        <v>0.981252994677777</v>
      </c>
      <c r="BR64" s="202" t="n">
        <f aca="false">IFERROR(BR60/BR59,"")</f>
        <v>1.22978097513249</v>
      </c>
      <c r="BS64" s="202" t="n">
        <f aca="false">IFERROR(BS60/BS59,"")</f>
        <v>1.2754451363816</v>
      </c>
      <c r="BT64" s="202" t="n">
        <f aca="false">IFERROR(BT60/BT59,"")</f>
        <v>1.18224486546386</v>
      </c>
      <c r="BU64" s="202" t="n">
        <f aca="false">IFERROR(BU60/BU59,"")</f>
        <v>1.18323670366444</v>
      </c>
      <c r="BV64" s="202" t="n">
        <f aca="false">IFERROR(BV60/BV59,"")</f>
        <v>1.06332841363408</v>
      </c>
      <c r="BW64" s="202" t="n">
        <f aca="false">IFERROR(BW60/BW59,"")</f>
        <v>0.87264343339257</v>
      </c>
      <c r="BX64" s="202" t="n">
        <f aca="false">IFERROR(BX60/BX59,"")</f>
        <v>0.858939647721941</v>
      </c>
      <c r="BY64" s="202" t="n">
        <f aca="false">IFERROR(BY60/BY59,"")</f>
        <v>0.712338477327778</v>
      </c>
      <c r="BZ64" s="202" t="n">
        <f aca="false">IFERROR(BZ60/BZ59,"")</f>
        <v>0.523583627642756</v>
      </c>
      <c r="CA64" s="202" t="n">
        <f aca="false">IFERROR(CA60/CA59,"")</f>
        <v>0.455881162670798</v>
      </c>
      <c r="CB64" s="202" t="n">
        <f aca="false">IFERROR(CB60/CB59,"")</f>
        <v>0.283991747335239</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612</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5468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613</v>
      </c>
    </row>
    <row r="2" customFormat="false" ht="13.5" hidden="false" customHeight="true" outlineLevel="0" collapsed="false">
      <c r="A2" s="205" t="s">
        <v>614</v>
      </c>
    </row>
    <row r="3" customFormat="false" ht="13.5" hidden="false" customHeight="true" outlineLevel="0" collapsed="false">
      <c r="C3" s="206" t="s">
        <v>615</v>
      </c>
      <c r="D3" s="206" t="s">
        <v>616</v>
      </c>
    </row>
    <row r="4" customFormat="false" ht="13.5" hidden="false" customHeight="true" outlineLevel="0" collapsed="false">
      <c r="A4" s="123" t="s">
        <v>617</v>
      </c>
      <c r="C4" s="118" t="n">
        <f aca="false">COUNTIFS($F$9:$F$100,"GC",$L$9:$L$100,"Current*")-COUNTIFS($A$9:$A$100,"*(Corporate)*",$F$9:$F$100,"GC")</f>
        <v>25</v>
      </c>
      <c r="D4" s="207" t="n">
        <f aca="false">SUMIFS($C$9:$C$100,$F$9:$F$100,"GC",$L$9:$L$100,"Current*")</f>
        <v>3440572</v>
      </c>
    </row>
    <row r="5" customFormat="false" ht="13.5" hidden="false" customHeight="true" outlineLevel="0" collapsed="false">
      <c r="A5" s="123" t="s">
        <v>618</v>
      </c>
      <c r="C5" s="118" t="n">
        <f aca="false">COUNTIFS($F$9:$F$100,"SixPeak",$L$9:$L$100,"Current*")</f>
        <v>7</v>
      </c>
      <c r="D5" s="207" t="n">
        <f aca="false">SUMIFS($C$9:$C$100,$F$9:$F$100,"SixPeak",$L$9:$L$100,"Current*")</f>
        <v>1787000</v>
      </c>
    </row>
    <row r="6" customFormat="false" ht="13.5" hidden="false" customHeight="true" outlineLevel="0" collapsed="false">
      <c r="A6" s="208" t="s">
        <v>619</v>
      </c>
    </row>
    <row r="8" customFormat="false" ht="27" hidden="false" customHeight="true" outlineLevel="0" collapsed="false">
      <c r="A8" s="173" t="s">
        <v>620</v>
      </c>
      <c r="B8" s="173" t="s">
        <v>621</v>
      </c>
      <c r="C8" s="173" t="s">
        <v>622</v>
      </c>
      <c r="D8" s="173" t="s">
        <v>623</v>
      </c>
      <c r="E8" s="173" t="s">
        <v>563</v>
      </c>
      <c r="F8" s="173" t="s">
        <v>572</v>
      </c>
      <c r="G8" s="173" t="s">
        <v>567</v>
      </c>
      <c r="H8" s="173" t="s">
        <v>624</v>
      </c>
      <c r="I8" s="173" t="s">
        <v>625</v>
      </c>
      <c r="J8" s="173" t="s">
        <v>626</v>
      </c>
      <c r="K8" s="173" t="s">
        <v>581</v>
      </c>
      <c r="L8" s="173" t="s">
        <v>627</v>
      </c>
      <c r="M8" s="173" t="s">
        <v>628</v>
      </c>
      <c r="N8" s="173" t="s">
        <v>629</v>
      </c>
      <c r="O8" s="173" t="s">
        <v>630</v>
      </c>
      <c r="P8" s="173" t="s">
        <v>631</v>
      </c>
      <c r="Q8" s="173" t="s">
        <v>632</v>
      </c>
    </row>
    <row r="9" customFormat="false" ht="13.5" hidden="false" customHeight="true" outlineLevel="0" collapsed="false">
      <c r="A9" s="209" t="s">
        <v>633</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634</v>
      </c>
      <c r="B10" s="109" t="s">
        <v>635</v>
      </c>
      <c r="C10" s="211" t="n">
        <v>70000</v>
      </c>
      <c r="D10" s="211" t="n">
        <f aca="false">C10/12</f>
        <v>5833.33333333333</v>
      </c>
      <c r="E10" s="180" t="n">
        <v>1</v>
      </c>
      <c r="F10" s="109" t="s">
        <v>636</v>
      </c>
      <c r="G10" s="180" t="s">
        <v>584</v>
      </c>
      <c r="H10" s="212" t="n">
        <v>0</v>
      </c>
      <c r="I10" s="212" t="n">
        <v>0</v>
      </c>
      <c r="J10" s="109" t="s">
        <v>637</v>
      </c>
      <c r="K10" s="180"/>
      <c r="L10" s="109" t="s">
        <v>638</v>
      </c>
      <c r="M10" s="109"/>
      <c r="N10" s="109"/>
      <c r="O10" s="109" t="s">
        <v>636</v>
      </c>
      <c r="P10" s="109" t="s">
        <v>639</v>
      </c>
      <c r="Q10" s="1" t="s">
        <v>584</v>
      </c>
    </row>
    <row r="11" customFormat="false" ht="13.5" hidden="false" customHeight="true" outlineLevel="0" collapsed="false">
      <c r="A11" s="213" t="s">
        <v>640</v>
      </c>
      <c r="B11" s="213" t="s">
        <v>641</v>
      </c>
      <c r="C11" s="214" t="n">
        <v>80000</v>
      </c>
      <c r="D11" s="214" t="n">
        <f aca="false">C11/12</f>
        <v>6666.66666666667</v>
      </c>
      <c r="E11" s="215" t="n">
        <v>1</v>
      </c>
      <c r="F11" s="213" t="s">
        <v>636</v>
      </c>
      <c r="G11" s="215" t="s">
        <v>584</v>
      </c>
      <c r="H11" s="216" t="n">
        <v>0.5</v>
      </c>
      <c r="I11" s="216" t="n">
        <v>0</v>
      </c>
      <c r="J11" s="213" t="s">
        <v>637</v>
      </c>
      <c r="K11" s="215"/>
      <c r="L11" s="213" t="s">
        <v>638</v>
      </c>
      <c r="M11" s="213"/>
      <c r="N11" s="213"/>
      <c r="O11" s="213" t="s">
        <v>636</v>
      </c>
      <c r="P11" s="213" t="s">
        <v>639</v>
      </c>
      <c r="Q11" s="1" t="s">
        <v>584</v>
      </c>
    </row>
    <row r="12" customFormat="false" ht="13.5" hidden="false" customHeight="true" outlineLevel="0" collapsed="false">
      <c r="A12" s="109" t="s">
        <v>642</v>
      </c>
      <c r="B12" s="109" t="s">
        <v>643</v>
      </c>
      <c r="C12" s="211" t="n">
        <v>25000</v>
      </c>
      <c r="D12" s="211" t="n">
        <f aca="false">C12/12</f>
        <v>2083.33333333333</v>
      </c>
      <c r="E12" s="180" t="n">
        <v>1</v>
      </c>
      <c r="F12" s="109" t="s">
        <v>636</v>
      </c>
      <c r="G12" s="180" t="s">
        <v>584</v>
      </c>
      <c r="H12" s="212" t="n">
        <v>0.5</v>
      </c>
      <c r="I12" s="212" t="n">
        <v>0</v>
      </c>
      <c r="J12" s="109" t="s">
        <v>637</v>
      </c>
      <c r="K12" s="180" t="n">
        <v>9</v>
      </c>
      <c r="L12" s="109" t="s">
        <v>644</v>
      </c>
      <c r="M12" s="109"/>
      <c r="N12" s="109" t="s">
        <v>645</v>
      </c>
      <c r="O12" s="109" t="s">
        <v>636</v>
      </c>
      <c r="P12" s="109" t="s">
        <v>639</v>
      </c>
      <c r="Q12" s="1" t="s">
        <v>584</v>
      </c>
    </row>
    <row r="13" customFormat="false" ht="13.5" hidden="false" customHeight="true" outlineLevel="0" collapsed="false">
      <c r="A13" s="213" t="s">
        <v>646</v>
      </c>
      <c r="B13" s="213" t="s">
        <v>643</v>
      </c>
      <c r="C13" s="214" t="n">
        <v>10000</v>
      </c>
      <c r="D13" s="214" t="n">
        <f aca="false">C13/12</f>
        <v>833.333333333333</v>
      </c>
      <c r="E13" s="215" t="n">
        <v>1</v>
      </c>
      <c r="F13" s="213" t="s">
        <v>636</v>
      </c>
      <c r="G13" s="215" t="s">
        <v>584</v>
      </c>
      <c r="H13" s="216" t="n">
        <v>0</v>
      </c>
      <c r="I13" s="216" t="n">
        <v>0</v>
      </c>
      <c r="J13" s="213" t="s">
        <v>637</v>
      </c>
      <c r="K13" s="215"/>
      <c r="L13" s="213" t="s">
        <v>638</v>
      </c>
      <c r="M13" s="213"/>
      <c r="N13" s="213"/>
      <c r="O13" s="213" t="s">
        <v>636</v>
      </c>
      <c r="P13" s="213" t="s">
        <v>639</v>
      </c>
      <c r="Q13" s="1" t="s">
        <v>584</v>
      </c>
    </row>
    <row r="14" customFormat="false" ht="13.5" hidden="false" customHeight="true" outlineLevel="0" collapsed="false">
      <c r="A14" s="109" t="s">
        <v>647</v>
      </c>
      <c r="B14" s="109" t="s">
        <v>648</v>
      </c>
      <c r="C14" s="211" t="n">
        <v>20000</v>
      </c>
      <c r="D14" s="211" t="n">
        <f aca="false">C14/12</f>
        <v>1666.66666666667</v>
      </c>
      <c r="E14" s="180" t="n">
        <v>1</v>
      </c>
      <c r="F14" s="109" t="s">
        <v>636</v>
      </c>
      <c r="G14" s="180" t="s">
        <v>584</v>
      </c>
      <c r="H14" s="212" t="n">
        <v>0</v>
      </c>
      <c r="I14" s="212" t="n">
        <v>0</v>
      </c>
      <c r="J14" s="109" t="s">
        <v>637</v>
      </c>
      <c r="K14" s="180"/>
      <c r="L14" s="109" t="s">
        <v>638</v>
      </c>
      <c r="M14" s="109"/>
      <c r="N14" s="109"/>
      <c r="O14" s="109" t="s">
        <v>636</v>
      </c>
      <c r="P14" s="109" t="s">
        <v>639</v>
      </c>
      <c r="Q14" s="1" t="s">
        <v>584</v>
      </c>
    </row>
    <row r="16" customFormat="false" ht="13.5" hidden="false" customHeight="true" outlineLevel="0" collapsed="false">
      <c r="A16" s="209" t="s">
        <v>649</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650</v>
      </c>
      <c r="B17" s="109" t="s">
        <v>641</v>
      </c>
      <c r="C17" s="211" t="n">
        <v>320000</v>
      </c>
      <c r="D17" s="211" t="n">
        <f aca="false">C17/12</f>
        <v>26666.6666666667</v>
      </c>
      <c r="E17" s="180" t="n">
        <v>1</v>
      </c>
      <c r="F17" s="109" t="s">
        <v>636</v>
      </c>
      <c r="G17" s="180" t="s">
        <v>584</v>
      </c>
      <c r="H17" s="212" t="n">
        <v>0.5</v>
      </c>
      <c r="I17" s="212" t="n">
        <v>0</v>
      </c>
      <c r="J17" s="109" t="s">
        <v>651</v>
      </c>
      <c r="K17" s="180"/>
      <c r="L17" s="109" t="s">
        <v>638</v>
      </c>
      <c r="M17" s="109"/>
      <c r="N17" s="109"/>
      <c r="O17" s="109" t="s">
        <v>636</v>
      </c>
      <c r="P17" s="109" t="s">
        <v>639</v>
      </c>
      <c r="Q17" s="1" t="s">
        <v>584</v>
      </c>
    </row>
    <row r="18" customFormat="false" ht="13.5" hidden="false" customHeight="true" outlineLevel="0" collapsed="false">
      <c r="A18" s="213" t="s">
        <v>652</v>
      </c>
      <c r="B18" s="213" t="s">
        <v>643</v>
      </c>
      <c r="C18" s="214" t="n">
        <v>225000</v>
      </c>
      <c r="D18" s="214" t="n">
        <f aca="false">C18/12</f>
        <v>18750</v>
      </c>
      <c r="E18" s="215" t="n">
        <v>1</v>
      </c>
      <c r="F18" s="213" t="s">
        <v>636</v>
      </c>
      <c r="G18" s="215" t="s">
        <v>584</v>
      </c>
      <c r="H18" s="216" t="n">
        <v>0.5</v>
      </c>
      <c r="I18" s="216" t="n">
        <v>0</v>
      </c>
      <c r="J18" s="213" t="s">
        <v>651</v>
      </c>
      <c r="K18" s="215" t="n">
        <v>9</v>
      </c>
      <c r="L18" s="213" t="s">
        <v>644</v>
      </c>
      <c r="M18" s="213"/>
      <c r="N18" s="213" t="s">
        <v>645</v>
      </c>
      <c r="O18" s="213" t="s">
        <v>636</v>
      </c>
      <c r="P18" s="213" t="s">
        <v>639</v>
      </c>
      <c r="Q18" s="1" t="s">
        <v>584</v>
      </c>
    </row>
    <row r="19" customFormat="false" ht="13.5" hidden="false" customHeight="true" outlineLevel="0" collapsed="false">
      <c r="A19" s="109" t="s">
        <v>653</v>
      </c>
      <c r="B19" s="109" t="s">
        <v>643</v>
      </c>
      <c r="C19" s="211" t="n">
        <v>180000</v>
      </c>
      <c r="D19" s="211" t="n">
        <f aca="false">C19/12</f>
        <v>15000</v>
      </c>
      <c r="E19" s="180" t="n">
        <v>1</v>
      </c>
      <c r="F19" s="109" t="s">
        <v>636</v>
      </c>
      <c r="G19" s="180" t="s">
        <v>584</v>
      </c>
      <c r="H19" s="212" t="n">
        <v>0</v>
      </c>
      <c r="I19" s="212" t="n">
        <v>0</v>
      </c>
      <c r="J19" s="109" t="s">
        <v>651</v>
      </c>
      <c r="K19" s="180"/>
      <c r="L19" s="109" t="s">
        <v>638</v>
      </c>
      <c r="M19" s="109"/>
      <c r="N19" s="109"/>
      <c r="O19" s="109" t="s">
        <v>636</v>
      </c>
      <c r="P19" s="109" t="s">
        <v>654</v>
      </c>
      <c r="Q19" s="1" t="s">
        <v>584</v>
      </c>
    </row>
    <row r="20" customFormat="false" ht="13.5" hidden="false" customHeight="true" outlineLevel="0" collapsed="false">
      <c r="A20" s="213" t="s">
        <v>655</v>
      </c>
      <c r="B20" s="213" t="s">
        <v>648</v>
      </c>
      <c r="C20" s="214" t="n">
        <v>180000</v>
      </c>
      <c r="D20" s="214" t="n">
        <f aca="false">C20/12</f>
        <v>15000</v>
      </c>
      <c r="E20" s="215" t="n">
        <v>1</v>
      </c>
      <c r="F20" s="213" t="s">
        <v>636</v>
      </c>
      <c r="G20" s="215" t="s">
        <v>584</v>
      </c>
      <c r="H20" s="216" t="n">
        <v>0</v>
      </c>
      <c r="I20" s="216" t="n">
        <v>0</v>
      </c>
      <c r="J20" s="213" t="s">
        <v>651</v>
      </c>
      <c r="K20" s="215"/>
      <c r="L20" s="213" t="s">
        <v>638</v>
      </c>
      <c r="M20" s="213"/>
      <c r="N20" s="213"/>
      <c r="O20" s="213" t="s">
        <v>636</v>
      </c>
      <c r="P20" s="213" t="s">
        <v>654</v>
      </c>
      <c r="Q20" s="1" t="s">
        <v>584</v>
      </c>
    </row>
    <row r="21" customFormat="false" ht="13.5" hidden="false" customHeight="true" outlineLevel="0" collapsed="false">
      <c r="A21" s="109" t="s">
        <v>656</v>
      </c>
      <c r="B21" s="109" t="s">
        <v>657</v>
      </c>
      <c r="C21" s="211" t="n">
        <v>105000</v>
      </c>
      <c r="D21" s="211" t="n">
        <f aca="false">C21/12</f>
        <v>8750</v>
      </c>
      <c r="E21" s="180" t="n">
        <v>3</v>
      </c>
      <c r="F21" s="109" t="s">
        <v>636</v>
      </c>
      <c r="G21" s="180" t="s">
        <v>584</v>
      </c>
      <c r="H21" s="212" t="n">
        <v>0</v>
      </c>
      <c r="I21" s="212" t="n">
        <v>0</v>
      </c>
      <c r="J21" s="109" t="s">
        <v>651</v>
      </c>
      <c r="K21" s="180"/>
      <c r="L21" s="109" t="s">
        <v>638</v>
      </c>
      <c r="M21" s="109"/>
      <c r="N21" s="109"/>
      <c r="O21" s="109" t="s">
        <v>636</v>
      </c>
      <c r="P21" s="109" t="s">
        <v>658</v>
      </c>
      <c r="Q21" s="1" t="s">
        <v>584</v>
      </c>
    </row>
    <row r="22" customFormat="false" ht="13.5" hidden="false" customHeight="true" outlineLevel="0" collapsed="false">
      <c r="A22" s="213" t="s">
        <v>659</v>
      </c>
      <c r="B22" s="213" t="s">
        <v>660</v>
      </c>
      <c r="C22" s="214" t="n">
        <v>155000</v>
      </c>
      <c r="D22" s="214" t="n">
        <f aca="false">C22/12</f>
        <v>12916.6666666667</v>
      </c>
      <c r="E22" s="215" t="n">
        <v>1</v>
      </c>
      <c r="F22" s="213" t="s">
        <v>636</v>
      </c>
      <c r="G22" s="215" t="s">
        <v>584</v>
      </c>
      <c r="H22" s="216" t="n">
        <v>0</v>
      </c>
      <c r="I22" s="216" t="n">
        <v>0</v>
      </c>
      <c r="J22" s="213" t="s">
        <v>651</v>
      </c>
      <c r="K22" s="215"/>
      <c r="L22" s="213" t="s">
        <v>638</v>
      </c>
      <c r="M22" s="213"/>
      <c r="N22" s="213"/>
      <c r="O22" s="213" t="s">
        <v>636</v>
      </c>
      <c r="P22" s="213" t="s">
        <v>654</v>
      </c>
      <c r="Q22" s="1" t="s">
        <v>584</v>
      </c>
    </row>
    <row r="23" customFormat="false" ht="13.5" hidden="false" customHeight="true" outlineLevel="0" collapsed="false">
      <c r="A23" s="109" t="s">
        <v>661</v>
      </c>
      <c r="B23" s="109" t="s">
        <v>662</v>
      </c>
      <c r="C23" s="211" t="n">
        <v>185000</v>
      </c>
      <c r="D23" s="211" t="n">
        <f aca="false">C23/12</f>
        <v>15416.6666666667</v>
      </c>
      <c r="E23" s="180" t="n">
        <v>1</v>
      </c>
      <c r="F23" s="109" t="s">
        <v>636</v>
      </c>
      <c r="G23" s="180" t="s">
        <v>584</v>
      </c>
      <c r="H23" s="212" t="n">
        <v>0</v>
      </c>
      <c r="I23" s="212" t="n">
        <v>0</v>
      </c>
      <c r="J23" s="109" t="s">
        <v>651</v>
      </c>
      <c r="K23" s="180"/>
      <c r="L23" s="109" t="s">
        <v>638</v>
      </c>
      <c r="M23" s="109"/>
      <c r="N23" s="109"/>
      <c r="O23" s="109" t="s">
        <v>636</v>
      </c>
      <c r="P23" s="109" t="s">
        <v>663</v>
      </c>
      <c r="Q23" s="1" t="s">
        <v>584</v>
      </c>
    </row>
    <row r="24" customFormat="false" ht="13.5" hidden="false" customHeight="true" outlineLevel="0" collapsed="false">
      <c r="A24" s="213" t="s">
        <v>664</v>
      </c>
      <c r="B24" s="213" t="s">
        <v>665</v>
      </c>
      <c r="C24" s="214" t="n">
        <v>90000</v>
      </c>
      <c r="D24" s="214" t="n">
        <f aca="false">C24/12</f>
        <v>7500</v>
      </c>
      <c r="E24" s="215" t="n">
        <v>3</v>
      </c>
      <c r="F24" s="213" t="s">
        <v>636</v>
      </c>
      <c r="G24" s="215" t="s">
        <v>584</v>
      </c>
      <c r="H24" s="216" t="n">
        <v>0</v>
      </c>
      <c r="I24" s="216" t="n">
        <v>0</v>
      </c>
      <c r="J24" s="213" t="s">
        <v>651</v>
      </c>
      <c r="K24" s="215"/>
      <c r="L24" s="213" t="s">
        <v>638</v>
      </c>
      <c r="M24" s="213"/>
      <c r="N24" s="213"/>
      <c r="O24" s="213" t="s">
        <v>636</v>
      </c>
      <c r="P24" s="213" t="s">
        <v>666</v>
      </c>
      <c r="Q24" s="1" t="s">
        <v>584</v>
      </c>
    </row>
    <row r="25" customFormat="false" ht="13.5" hidden="false" customHeight="true" outlineLevel="0" collapsed="false">
      <c r="A25" s="109" t="s">
        <v>667</v>
      </c>
      <c r="B25" s="109" t="s">
        <v>665</v>
      </c>
      <c r="C25" s="211" t="n">
        <v>97500</v>
      </c>
      <c r="D25" s="211" t="n">
        <f aca="false">C25/12</f>
        <v>8125</v>
      </c>
      <c r="E25" s="180" t="n">
        <v>1</v>
      </c>
      <c r="F25" s="109" t="s">
        <v>636</v>
      </c>
      <c r="G25" s="180" t="s">
        <v>584</v>
      </c>
      <c r="H25" s="212" t="n">
        <v>0</v>
      </c>
      <c r="I25" s="212" t="n">
        <v>0</v>
      </c>
      <c r="J25" s="109" t="s">
        <v>651</v>
      </c>
      <c r="K25" s="180"/>
      <c r="L25" s="109" t="s">
        <v>638</v>
      </c>
      <c r="M25" s="109"/>
      <c r="N25" s="109"/>
      <c r="O25" s="109" t="s">
        <v>636</v>
      </c>
      <c r="P25" s="109" t="s">
        <v>666</v>
      </c>
      <c r="Q25" s="1" t="s">
        <v>584</v>
      </c>
    </row>
    <row r="26" customFormat="false" ht="13.5" hidden="false" customHeight="true" outlineLevel="0" collapsed="false">
      <c r="A26" s="213" t="s">
        <v>668</v>
      </c>
      <c r="B26" s="213" t="s">
        <v>662</v>
      </c>
      <c r="C26" s="214" t="n">
        <v>150000</v>
      </c>
      <c r="D26" s="214" t="n">
        <f aca="false">C26/12</f>
        <v>12500</v>
      </c>
      <c r="E26" s="215" t="n">
        <v>1</v>
      </c>
      <c r="F26" s="213" t="s">
        <v>636</v>
      </c>
      <c r="G26" s="215" t="s">
        <v>584</v>
      </c>
      <c r="H26" s="216" t="n">
        <v>0</v>
      </c>
      <c r="I26" s="216" t="n">
        <v>0</v>
      </c>
      <c r="J26" s="213" t="s">
        <v>651</v>
      </c>
      <c r="K26" s="215"/>
      <c r="L26" s="213" t="s">
        <v>638</v>
      </c>
      <c r="M26" s="213"/>
      <c r="N26" s="213"/>
      <c r="O26" s="213" t="s">
        <v>636</v>
      </c>
      <c r="P26" s="213" t="s">
        <v>663</v>
      </c>
      <c r="Q26" s="1" t="s">
        <v>584</v>
      </c>
    </row>
    <row r="27" customFormat="false" ht="13.5" hidden="false" customHeight="true" outlineLevel="0" collapsed="false">
      <c r="A27" s="109" t="s">
        <v>669</v>
      </c>
      <c r="B27" s="109" t="s">
        <v>662</v>
      </c>
      <c r="C27" s="211" t="n">
        <v>150000</v>
      </c>
      <c r="D27" s="211" t="n">
        <f aca="false">C27/12</f>
        <v>12500</v>
      </c>
      <c r="E27" s="180" t="n">
        <v>1</v>
      </c>
      <c r="F27" s="109" t="s">
        <v>636</v>
      </c>
      <c r="G27" s="180" t="s">
        <v>584</v>
      </c>
      <c r="H27" s="212" t="n">
        <v>0</v>
      </c>
      <c r="I27" s="212" t="n">
        <v>0</v>
      </c>
      <c r="J27" s="109" t="s">
        <v>651</v>
      </c>
      <c r="K27" s="180"/>
      <c r="L27" s="109" t="s">
        <v>638</v>
      </c>
      <c r="M27" s="109"/>
      <c r="N27" s="109"/>
      <c r="O27" s="109" t="s">
        <v>636</v>
      </c>
      <c r="P27" s="109" t="s">
        <v>663</v>
      </c>
      <c r="Q27" s="1" t="s">
        <v>584</v>
      </c>
    </row>
    <row r="28" customFormat="false" ht="13.5" hidden="false" customHeight="true" outlineLevel="0" collapsed="false">
      <c r="A28" s="213" t="s">
        <v>670</v>
      </c>
      <c r="B28" s="213" t="s">
        <v>662</v>
      </c>
      <c r="C28" s="214" t="n">
        <v>170000</v>
      </c>
      <c r="D28" s="214" t="n">
        <f aca="false">C28/12</f>
        <v>14166.6666666667</v>
      </c>
      <c r="E28" s="215" t="n">
        <v>2</v>
      </c>
      <c r="F28" s="213" t="s">
        <v>636</v>
      </c>
      <c r="G28" s="215" t="s">
        <v>584</v>
      </c>
      <c r="H28" s="216" t="n">
        <v>0</v>
      </c>
      <c r="I28" s="216" t="n">
        <v>0</v>
      </c>
      <c r="J28" s="213" t="s">
        <v>651</v>
      </c>
      <c r="K28" s="215"/>
      <c r="L28" s="213" t="s">
        <v>638</v>
      </c>
      <c r="M28" s="213"/>
      <c r="N28" s="213"/>
      <c r="O28" s="213" t="s">
        <v>636</v>
      </c>
      <c r="P28" s="213" t="s">
        <v>663</v>
      </c>
      <c r="Q28" s="1" t="s">
        <v>584</v>
      </c>
    </row>
    <row r="29" customFormat="false" ht="13.5" hidden="false" customHeight="true" outlineLevel="0" collapsed="false">
      <c r="A29" s="109" t="s">
        <v>671</v>
      </c>
      <c r="B29" s="109" t="s">
        <v>662</v>
      </c>
      <c r="C29" s="211" t="n">
        <v>170000</v>
      </c>
      <c r="D29" s="211" t="n">
        <f aca="false">C29/12</f>
        <v>14166.6666666667</v>
      </c>
      <c r="E29" s="180" t="n">
        <v>4</v>
      </c>
      <c r="F29" s="109" t="s">
        <v>636</v>
      </c>
      <c r="G29" s="180" t="s">
        <v>584</v>
      </c>
      <c r="H29" s="212" t="n">
        <v>0</v>
      </c>
      <c r="I29" s="212" t="n">
        <v>0</v>
      </c>
      <c r="J29" s="109" t="s">
        <v>651</v>
      </c>
      <c r="K29" s="180"/>
      <c r="L29" s="109" t="s">
        <v>638</v>
      </c>
      <c r="M29" s="109"/>
      <c r="N29" s="109"/>
      <c r="O29" s="109" t="s">
        <v>636</v>
      </c>
      <c r="P29" s="109" t="s">
        <v>663</v>
      </c>
      <c r="Q29" s="1" t="s">
        <v>584</v>
      </c>
    </row>
    <row r="30" customFormat="false" ht="13.5" hidden="false" customHeight="true" outlineLevel="0" collapsed="false">
      <c r="A30" s="213" t="s">
        <v>672</v>
      </c>
      <c r="B30" s="213" t="s">
        <v>662</v>
      </c>
      <c r="C30" s="214" t="n">
        <v>130000</v>
      </c>
      <c r="D30" s="214" t="n">
        <f aca="false">C30/12</f>
        <v>10833.3333333333</v>
      </c>
      <c r="E30" s="215" t="n">
        <v>5</v>
      </c>
      <c r="F30" s="213" t="s">
        <v>636</v>
      </c>
      <c r="G30" s="215" t="s">
        <v>584</v>
      </c>
      <c r="H30" s="216" t="n">
        <v>0</v>
      </c>
      <c r="I30" s="216" t="n">
        <v>0</v>
      </c>
      <c r="J30" s="213" t="s">
        <v>651</v>
      </c>
      <c r="K30" s="215"/>
      <c r="L30" s="213" t="s">
        <v>638</v>
      </c>
      <c r="M30" s="213"/>
      <c r="N30" s="213"/>
      <c r="O30" s="213" t="s">
        <v>636</v>
      </c>
      <c r="P30" s="213" t="s">
        <v>663</v>
      </c>
      <c r="Q30" s="1" t="s">
        <v>584</v>
      </c>
    </row>
    <row r="31" customFormat="false" ht="13.5" hidden="false" customHeight="true" outlineLevel="0" collapsed="false">
      <c r="A31" s="109" t="s">
        <v>673</v>
      </c>
      <c r="B31" s="109" t="s">
        <v>662</v>
      </c>
      <c r="C31" s="211" t="n">
        <v>160000</v>
      </c>
      <c r="D31" s="211" t="n">
        <f aca="false">C31/12</f>
        <v>13333.3333333333</v>
      </c>
      <c r="E31" s="180" t="n">
        <v>6</v>
      </c>
      <c r="F31" s="109" t="s">
        <v>636</v>
      </c>
      <c r="G31" s="180" t="s">
        <v>584</v>
      </c>
      <c r="H31" s="212" t="n">
        <v>0</v>
      </c>
      <c r="I31" s="212" t="n">
        <v>0</v>
      </c>
      <c r="J31" s="109" t="s">
        <v>651</v>
      </c>
      <c r="K31" s="180"/>
      <c r="L31" s="109" t="s">
        <v>638</v>
      </c>
      <c r="M31" s="109" t="s">
        <v>15</v>
      </c>
      <c r="N31" s="109" t="s">
        <v>674</v>
      </c>
      <c r="O31" s="109" t="s">
        <v>636</v>
      </c>
      <c r="P31" s="109" t="s">
        <v>663</v>
      </c>
      <c r="Q31" s="1" t="s">
        <v>583</v>
      </c>
    </row>
    <row r="32" customFormat="false" ht="13.5" hidden="false" customHeight="true" outlineLevel="0" collapsed="false">
      <c r="A32" s="213" t="s">
        <v>675</v>
      </c>
      <c r="B32" s="213" t="s">
        <v>676</v>
      </c>
      <c r="C32" s="214" t="n">
        <v>75000</v>
      </c>
      <c r="D32" s="214" t="n">
        <f aca="false">C32/12</f>
        <v>6250</v>
      </c>
      <c r="E32" s="215" t="n">
        <v>1</v>
      </c>
      <c r="F32" s="213" t="s">
        <v>636</v>
      </c>
      <c r="G32" s="215" t="s">
        <v>584</v>
      </c>
      <c r="H32" s="216" t="n">
        <v>0</v>
      </c>
      <c r="I32" s="216" t="n">
        <v>0</v>
      </c>
      <c r="J32" s="213" t="s">
        <v>651</v>
      </c>
      <c r="K32" s="215"/>
      <c r="L32" s="213" t="s">
        <v>638</v>
      </c>
      <c r="M32" s="213"/>
      <c r="N32" s="213"/>
      <c r="O32" s="213" t="s">
        <v>636</v>
      </c>
      <c r="P32" s="213" t="s">
        <v>658</v>
      </c>
      <c r="Q32" s="1" t="s">
        <v>584</v>
      </c>
    </row>
    <row r="33" customFormat="false" ht="13.5" hidden="false" customHeight="true" outlineLevel="0" collapsed="false">
      <c r="A33" s="109" t="s">
        <v>677</v>
      </c>
      <c r="B33" s="109" t="s">
        <v>657</v>
      </c>
      <c r="C33" s="211" t="n">
        <v>105000</v>
      </c>
      <c r="D33" s="211" t="n">
        <f aca="false">C33/12</f>
        <v>8750</v>
      </c>
      <c r="E33" s="180" t="n">
        <v>3</v>
      </c>
      <c r="F33" s="109" t="s">
        <v>636</v>
      </c>
      <c r="G33" s="180" t="s">
        <v>584</v>
      </c>
      <c r="H33" s="212" t="n">
        <v>0</v>
      </c>
      <c r="I33" s="212" t="n">
        <v>0</v>
      </c>
      <c r="J33" s="109" t="s">
        <v>651</v>
      </c>
      <c r="K33" s="180"/>
      <c r="L33" s="109" t="s">
        <v>638</v>
      </c>
      <c r="M33" s="109"/>
      <c r="N33" s="109"/>
      <c r="O33" s="109" t="s">
        <v>636</v>
      </c>
      <c r="P33" s="109" t="s">
        <v>658</v>
      </c>
      <c r="Q33" s="1" t="s">
        <v>584</v>
      </c>
    </row>
    <row r="34" customFormat="false" ht="13.5" hidden="false" customHeight="true" outlineLevel="0" collapsed="false">
      <c r="A34" s="213" t="s">
        <v>678</v>
      </c>
      <c r="B34" s="213" t="s">
        <v>679</v>
      </c>
      <c r="C34" s="214" t="n">
        <v>62400</v>
      </c>
      <c r="D34" s="214" t="n">
        <f aca="false">C34/12</f>
        <v>5200</v>
      </c>
      <c r="E34" s="215" t="n">
        <v>1</v>
      </c>
      <c r="F34" s="213" t="s">
        <v>636</v>
      </c>
      <c r="G34" s="215" t="s">
        <v>584</v>
      </c>
      <c r="H34" s="216" t="n">
        <v>0</v>
      </c>
      <c r="I34" s="216" t="n">
        <v>0</v>
      </c>
      <c r="J34" s="213" t="s">
        <v>651</v>
      </c>
      <c r="K34" s="215"/>
      <c r="L34" s="213" t="s">
        <v>638</v>
      </c>
      <c r="M34" s="213"/>
      <c r="N34" s="213"/>
      <c r="O34" s="213" t="s">
        <v>636</v>
      </c>
      <c r="P34" s="213" t="s">
        <v>680</v>
      </c>
      <c r="Q34" s="1" t="s">
        <v>584</v>
      </c>
    </row>
    <row r="35" customFormat="false" ht="13.5" hidden="false" customHeight="true" outlineLevel="0" collapsed="false">
      <c r="A35" s="109" t="s">
        <v>681</v>
      </c>
      <c r="B35" s="109" t="s">
        <v>682</v>
      </c>
      <c r="C35" s="211" t="n">
        <v>115000</v>
      </c>
      <c r="D35" s="211" t="n">
        <f aca="false">C35/12</f>
        <v>9583.33333333333</v>
      </c>
      <c r="E35" s="180" t="n">
        <v>1</v>
      </c>
      <c r="F35" s="109" t="s">
        <v>636</v>
      </c>
      <c r="G35" s="180" t="s">
        <v>584</v>
      </c>
      <c r="H35" s="212" t="n">
        <v>0</v>
      </c>
      <c r="I35" s="212" t="n">
        <v>0</v>
      </c>
      <c r="J35" s="109" t="s">
        <v>651</v>
      </c>
      <c r="K35" s="180"/>
      <c r="L35" s="109" t="s">
        <v>638</v>
      </c>
      <c r="M35" s="109"/>
      <c r="N35" s="109"/>
      <c r="O35" s="109" t="s">
        <v>636</v>
      </c>
      <c r="P35" s="109" t="s">
        <v>683</v>
      </c>
      <c r="Q35" s="1" t="s">
        <v>584</v>
      </c>
    </row>
    <row r="36" customFormat="false" ht="13.5" hidden="false" customHeight="true" outlineLevel="0" collapsed="false">
      <c r="A36" s="213" t="s">
        <v>684</v>
      </c>
      <c r="B36" s="213" t="s">
        <v>685</v>
      </c>
      <c r="C36" s="214" t="n">
        <v>69992</v>
      </c>
      <c r="D36" s="214" t="n">
        <f aca="false">C36/12</f>
        <v>5832.66666666667</v>
      </c>
      <c r="E36" s="215" t="n">
        <v>1</v>
      </c>
      <c r="F36" s="213" t="s">
        <v>636</v>
      </c>
      <c r="G36" s="215" t="s">
        <v>584</v>
      </c>
      <c r="H36" s="216" t="n">
        <v>0</v>
      </c>
      <c r="I36" s="216" t="n">
        <v>0</v>
      </c>
      <c r="J36" s="213" t="s">
        <v>651</v>
      </c>
      <c r="K36" s="215"/>
      <c r="L36" s="213" t="s">
        <v>638</v>
      </c>
      <c r="M36" s="213"/>
      <c r="N36" s="213"/>
      <c r="O36" s="213" t="s">
        <v>636</v>
      </c>
      <c r="P36" s="213" t="s">
        <v>686</v>
      </c>
      <c r="Q36" s="1" t="s">
        <v>584</v>
      </c>
    </row>
    <row r="37" customFormat="false" ht="13.5" hidden="false" customHeight="true" outlineLevel="0" collapsed="false">
      <c r="A37" s="109" t="s">
        <v>687</v>
      </c>
      <c r="B37" s="109" t="s">
        <v>685</v>
      </c>
      <c r="C37" s="211" t="n">
        <v>52000</v>
      </c>
      <c r="D37" s="211" t="n">
        <f aca="false">C37/12</f>
        <v>4333.33333333333</v>
      </c>
      <c r="E37" s="180" t="n">
        <v>1</v>
      </c>
      <c r="F37" s="109" t="s">
        <v>636</v>
      </c>
      <c r="G37" s="180" t="s">
        <v>584</v>
      </c>
      <c r="H37" s="212" t="n">
        <v>0</v>
      </c>
      <c r="I37" s="212" t="n">
        <v>0</v>
      </c>
      <c r="J37" s="109" t="s">
        <v>651</v>
      </c>
      <c r="K37" s="180"/>
      <c r="L37" s="109" t="s">
        <v>638</v>
      </c>
      <c r="M37" s="109"/>
      <c r="N37" s="109"/>
      <c r="O37" s="109" t="s">
        <v>636</v>
      </c>
      <c r="P37" s="109" t="s">
        <v>686</v>
      </c>
      <c r="Q37" s="1" t="s">
        <v>584</v>
      </c>
    </row>
    <row r="38" customFormat="false" ht="13.5" hidden="false" customHeight="true" outlineLevel="0" collapsed="false">
      <c r="A38" s="213" t="s">
        <v>688</v>
      </c>
      <c r="B38" s="213" t="s">
        <v>689</v>
      </c>
      <c r="C38" s="214" t="n">
        <v>43680</v>
      </c>
      <c r="D38" s="214" t="n">
        <f aca="false">C38/12</f>
        <v>3640</v>
      </c>
      <c r="E38" s="215" t="n">
        <v>1</v>
      </c>
      <c r="F38" s="213" t="s">
        <v>636</v>
      </c>
      <c r="G38" s="215" t="s">
        <v>584</v>
      </c>
      <c r="H38" s="216" t="n">
        <v>0</v>
      </c>
      <c r="I38" s="216" t="n">
        <v>0</v>
      </c>
      <c r="J38" s="213" t="s">
        <v>651</v>
      </c>
      <c r="K38" s="215"/>
      <c r="L38" s="213" t="s">
        <v>638</v>
      </c>
      <c r="M38" s="213"/>
      <c r="N38" s="213"/>
      <c r="O38" s="213" t="s">
        <v>636</v>
      </c>
      <c r="P38" s="213" t="s">
        <v>686</v>
      </c>
      <c r="Q38" s="1" t="s">
        <v>584</v>
      </c>
    </row>
    <row r="40" customFormat="false" ht="13.5" hidden="false" customHeight="true" outlineLevel="0" collapsed="false">
      <c r="A40" s="209" t="s">
        <v>690</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691</v>
      </c>
      <c r="B41" s="109" t="s">
        <v>665</v>
      </c>
      <c r="C41" s="211" t="n">
        <v>90000</v>
      </c>
      <c r="D41" s="211" t="n">
        <f aca="false">C41/12</f>
        <v>7500</v>
      </c>
      <c r="E41" s="180" t="n">
        <v>10</v>
      </c>
      <c r="F41" s="109" t="s">
        <v>636</v>
      </c>
      <c r="G41" s="180" t="s">
        <v>584</v>
      </c>
      <c r="H41" s="212" t="n">
        <v>0</v>
      </c>
      <c r="I41" s="212" t="n">
        <v>0</v>
      </c>
      <c r="J41" s="109" t="s">
        <v>651</v>
      </c>
      <c r="K41" s="180"/>
      <c r="L41" s="109" t="s">
        <v>692</v>
      </c>
      <c r="M41" s="109" t="s">
        <v>693</v>
      </c>
      <c r="N41" s="109" t="s">
        <v>694</v>
      </c>
      <c r="O41" s="109" t="s">
        <v>636</v>
      </c>
      <c r="P41" s="109" t="s">
        <v>666</v>
      </c>
      <c r="Q41" s="1" t="s">
        <v>584</v>
      </c>
    </row>
    <row r="43" customFormat="false" ht="13.5" hidden="false" customHeight="true" outlineLevel="0" collapsed="false">
      <c r="A43" s="209" t="s">
        <v>695</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696</v>
      </c>
      <c r="B44" s="109" t="s">
        <v>697</v>
      </c>
      <c r="C44" s="211" t="n">
        <v>400000</v>
      </c>
      <c r="D44" s="211" t="n">
        <f aca="false">C44/12</f>
        <v>33333.3333333333</v>
      </c>
      <c r="E44" s="180" t="n">
        <v>1</v>
      </c>
      <c r="F44" s="109" t="s">
        <v>698</v>
      </c>
      <c r="G44" s="180" t="s">
        <v>584</v>
      </c>
      <c r="H44" s="212" t="n">
        <v>1</v>
      </c>
      <c r="I44" s="212" t="n">
        <v>0</v>
      </c>
      <c r="J44" s="109" t="s">
        <v>699</v>
      </c>
      <c r="K44" s="180"/>
      <c r="L44" s="109" t="s">
        <v>638</v>
      </c>
      <c r="M44" s="109"/>
      <c r="N44" s="109"/>
      <c r="O44" s="109" t="s">
        <v>700</v>
      </c>
      <c r="P44" s="109" t="s">
        <v>699</v>
      </c>
      <c r="Q44" s="1" t="s">
        <v>584</v>
      </c>
    </row>
    <row r="45" customFormat="false" ht="13.5" hidden="false" customHeight="true" outlineLevel="0" collapsed="false">
      <c r="A45" s="213" t="s">
        <v>701</v>
      </c>
      <c r="B45" s="213" t="s">
        <v>697</v>
      </c>
      <c r="C45" s="214" t="n">
        <v>400000</v>
      </c>
      <c r="D45" s="214" t="n">
        <f aca="false">C45/12</f>
        <v>33333.3333333333</v>
      </c>
      <c r="E45" s="215" t="n">
        <v>1</v>
      </c>
      <c r="F45" s="213" t="s">
        <v>698</v>
      </c>
      <c r="G45" s="215" t="s">
        <v>584</v>
      </c>
      <c r="H45" s="216" t="n">
        <v>1</v>
      </c>
      <c r="I45" s="216" t="n">
        <v>0</v>
      </c>
      <c r="J45" s="213" t="s">
        <v>699</v>
      </c>
      <c r="K45" s="215"/>
      <c r="L45" s="213" t="s">
        <v>638</v>
      </c>
      <c r="M45" s="213"/>
      <c r="N45" s="213"/>
      <c r="O45" s="213" t="s">
        <v>700</v>
      </c>
      <c r="P45" s="213" t="s">
        <v>699</v>
      </c>
      <c r="Q45" s="1" t="s">
        <v>584</v>
      </c>
    </row>
    <row r="46" customFormat="false" ht="13.5" hidden="false" customHeight="true" outlineLevel="0" collapsed="false">
      <c r="A46" s="109" t="s">
        <v>702</v>
      </c>
      <c r="B46" s="109" t="s">
        <v>703</v>
      </c>
      <c r="C46" s="211" t="n">
        <v>222000</v>
      </c>
      <c r="D46" s="211" t="n">
        <f aca="false">C46/12</f>
        <v>18500</v>
      </c>
      <c r="E46" s="180" t="n">
        <v>1</v>
      </c>
      <c r="F46" s="109" t="s">
        <v>698</v>
      </c>
      <c r="G46" s="180" t="s">
        <v>584</v>
      </c>
      <c r="H46" s="212" t="n">
        <v>1</v>
      </c>
      <c r="I46" s="212" t="n">
        <v>0</v>
      </c>
      <c r="J46" s="109" t="s">
        <v>699</v>
      </c>
      <c r="K46" s="180"/>
      <c r="L46" s="109" t="s">
        <v>638</v>
      </c>
      <c r="M46" s="109"/>
      <c r="N46" s="109"/>
      <c r="O46" s="109" t="s">
        <v>704</v>
      </c>
      <c r="P46" s="109" t="s">
        <v>699</v>
      </c>
      <c r="Q46" s="1" t="s">
        <v>584</v>
      </c>
    </row>
    <row r="47" customFormat="false" ht="13.5" hidden="false" customHeight="true" outlineLevel="0" collapsed="false">
      <c r="A47" s="213" t="s">
        <v>705</v>
      </c>
      <c r="B47" s="213" t="s">
        <v>706</v>
      </c>
      <c r="C47" s="214" t="n">
        <v>115000</v>
      </c>
      <c r="D47" s="214" t="n">
        <f aca="false">C47/12</f>
        <v>9583.33333333333</v>
      </c>
      <c r="E47" s="215" t="n">
        <v>1</v>
      </c>
      <c r="F47" s="213" t="s">
        <v>698</v>
      </c>
      <c r="G47" s="215" t="s">
        <v>584</v>
      </c>
      <c r="H47" s="216" t="n">
        <v>1</v>
      </c>
      <c r="I47" s="216" t="n">
        <v>0</v>
      </c>
      <c r="J47" s="213" t="s">
        <v>699</v>
      </c>
      <c r="K47" s="215"/>
      <c r="L47" s="213" t="s">
        <v>638</v>
      </c>
      <c r="M47" s="213"/>
      <c r="N47" s="213"/>
      <c r="O47" s="213" t="s">
        <v>704</v>
      </c>
      <c r="P47" s="213" t="s">
        <v>699</v>
      </c>
      <c r="Q47" s="1" t="s">
        <v>584</v>
      </c>
    </row>
    <row r="48" customFormat="false" ht="13.5" hidden="false" customHeight="true" outlineLevel="0" collapsed="false">
      <c r="A48" s="109" t="s">
        <v>707</v>
      </c>
      <c r="B48" s="109" t="s">
        <v>708</v>
      </c>
      <c r="C48" s="211" t="n">
        <v>250000</v>
      </c>
      <c r="D48" s="211" t="n">
        <f aca="false">C48/12</f>
        <v>20833.3333333333</v>
      </c>
      <c r="E48" s="180" t="n">
        <v>1</v>
      </c>
      <c r="F48" s="109" t="s">
        <v>698</v>
      </c>
      <c r="G48" s="180" t="s">
        <v>584</v>
      </c>
      <c r="H48" s="212" t="n">
        <v>0</v>
      </c>
      <c r="I48" s="212" t="n">
        <v>0</v>
      </c>
      <c r="J48" s="109" t="s">
        <v>699</v>
      </c>
      <c r="K48" s="180"/>
      <c r="L48" s="109" t="s">
        <v>638</v>
      </c>
      <c r="M48" s="109"/>
      <c r="N48" s="109"/>
      <c r="O48" s="109" t="s">
        <v>709</v>
      </c>
      <c r="P48" s="109" t="s">
        <v>699</v>
      </c>
      <c r="Q48" s="1" t="s">
        <v>584</v>
      </c>
    </row>
    <row r="49" customFormat="false" ht="13.5" hidden="false" customHeight="true" outlineLevel="0" collapsed="false">
      <c r="A49" s="213" t="s">
        <v>710</v>
      </c>
      <c r="B49" s="213" t="s">
        <v>711</v>
      </c>
      <c r="C49" s="214" t="n">
        <v>150000</v>
      </c>
      <c r="D49" s="214" t="n">
        <f aca="false">C49/12</f>
        <v>12500</v>
      </c>
      <c r="E49" s="215" t="n">
        <v>1</v>
      </c>
      <c r="F49" s="213" t="s">
        <v>698</v>
      </c>
      <c r="G49" s="215" t="s">
        <v>584</v>
      </c>
      <c r="H49" s="216" t="n">
        <v>0</v>
      </c>
      <c r="I49" s="216" t="n">
        <v>0</v>
      </c>
      <c r="J49" s="213" t="s">
        <v>699</v>
      </c>
      <c r="K49" s="215"/>
      <c r="L49" s="213" t="s">
        <v>638</v>
      </c>
      <c r="M49" s="213"/>
      <c r="N49" s="213"/>
      <c r="O49" s="213" t="s">
        <v>709</v>
      </c>
      <c r="P49" s="213" t="s">
        <v>699</v>
      </c>
      <c r="Q49" s="1" t="s">
        <v>584</v>
      </c>
    </row>
    <row r="50" customFormat="false" ht="13.5" hidden="false" customHeight="true" outlineLevel="0" collapsed="false">
      <c r="A50" s="109" t="s">
        <v>712</v>
      </c>
      <c r="B50" s="109" t="s">
        <v>713</v>
      </c>
      <c r="C50" s="211" t="n">
        <v>250000</v>
      </c>
      <c r="D50" s="211" t="n">
        <f aca="false">C50/12</f>
        <v>20833.3333333333</v>
      </c>
      <c r="E50" s="180" t="n">
        <v>1</v>
      </c>
      <c r="F50" s="109" t="s">
        <v>698</v>
      </c>
      <c r="G50" s="180" t="s">
        <v>584</v>
      </c>
      <c r="H50" s="212" t="n">
        <v>0</v>
      </c>
      <c r="I50" s="212" t="n">
        <v>0</v>
      </c>
      <c r="J50" s="109" t="s">
        <v>699</v>
      </c>
      <c r="K50" s="180"/>
      <c r="L50" s="109" t="s">
        <v>638</v>
      </c>
      <c r="M50" s="109"/>
      <c r="N50" s="109"/>
      <c r="O50" s="109" t="s">
        <v>709</v>
      </c>
      <c r="P50" s="109" t="s">
        <v>699</v>
      </c>
      <c r="Q50" s="1" t="s">
        <v>584</v>
      </c>
    </row>
    <row r="52" customFormat="false" ht="13.5" hidden="false" customHeight="true" outlineLevel="0" collapsed="false">
      <c r="A52" s="209" t="s">
        <v>714</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715</v>
      </c>
      <c r="B53" s="109" t="s">
        <v>716</v>
      </c>
      <c r="C53" s="211" t="n">
        <v>125000</v>
      </c>
      <c r="D53" s="211" t="n">
        <f aca="false">C53/12</f>
        <v>10416.6666666667</v>
      </c>
      <c r="E53" s="180" t="n">
        <v>2</v>
      </c>
      <c r="F53" s="109" t="s">
        <v>636</v>
      </c>
      <c r="G53" s="180" t="s">
        <v>584</v>
      </c>
      <c r="H53" s="212" t="n">
        <v>0</v>
      </c>
      <c r="I53" s="212" t="n">
        <v>0</v>
      </c>
      <c r="J53" s="109" t="s">
        <v>651</v>
      </c>
      <c r="K53" s="180" t="n">
        <v>4</v>
      </c>
      <c r="L53" s="109" t="s">
        <v>717</v>
      </c>
      <c r="M53" s="109"/>
      <c r="N53" s="109" t="s">
        <v>718</v>
      </c>
      <c r="O53" s="109" t="s">
        <v>636</v>
      </c>
      <c r="P53" s="109" t="s">
        <v>683</v>
      </c>
      <c r="Q53" s="1" t="s">
        <v>584</v>
      </c>
    </row>
    <row r="54" customFormat="false" ht="13.5" hidden="false" customHeight="true" outlineLevel="0" collapsed="false">
      <c r="A54" s="213" t="s">
        <v>719</v>
      </c>
      <c r="B54" s="213" t="s">
        <v>720</v>
      </c>
      <c r="C54" s="214" t="n">
        <v>110000</v>
      </c>
      <c r="D54" s="214" t="n">
        <f aca="false">C54/12</f>
        <v>9166.66666666667</v>
      </c>
      <c r="E54" s="215" t="n">
        <v>1</v>
      </c>
      <c r="F54" s="213" t="s">
        <v>636</v>
      </c>
      <c r="G54" s="215" t="s">
        <v>584</v>
      </c>
      <c r="H54" s="216" t="n">
        <v>0</v>
      </c>
      <c r="I54" s="216" t="n">
        <v>0</v>
      </c>
      <c r="J54" s="213" t="s">
        <v>651</v>
      </c>
      <c r="K54" s="215" t="n">
        <v>4</v>
      </c>
      <c r="L54" s="213" t="s">
        <v>717</v>
      </c>
      <c r="M54" s="213"/>
      <c r="N54" s="213" t="s">
        <v>718</v>
      </c>
      <c r="O54" s="213" t="s">
        <v>636</v>
      </c>
      <c r="P54" s="213" t="s">
        <v>663</v>
      </c>
      <c r="Q54" s="1" t="s">
        <v>584</v>
      </c>
    </row>
    <row r="56" customFormat="false" ht="13.5" hidden="false" customHeight="true" outlineLevel="0" collapsed="false">
      <c r="A56" s="209" t="s">
        <v>721</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722</v>
      </c>
      <c r="B57" s="213" t="s">
        <v>657</v>
      </c>
      <c r="C57" s="214" t="n">
        <v>120000</v>
      </c>
      <c r="D57" s="214" t="n">
        <f aca="false">C57/12</f>
        <v>10000</v>
      </c>
      <c r="E57" s="215" t="n">
        <v>5</v>
      </c>
      <c r="F57" s="213" t="s">
        <v>636</v>
      </c>
      <c r="G57" s="215" t="s">
        <v>584</v>
      </c>
      <c r="H57" s="216" t="n">
        <v>0</v>
      </c>
      <c r="I57" s="216" t="n">
        <v>0</v>
      </c>
      <c r="J57" s="213" t="s">
        <v>651</v>
      </c>
      <c r="K57" s="215"/>
      <c r="L57" s="213" t="s">
        <v>638</v>
      </c>
      <c r="M57" s="213"/>
      <c r="N57" s="213" t="s">
        <v>723</v>
      </c>
      <c r="O57" s="213" t="s">
        <v>636</v>
      </c>
      <c r="P57" s="213" t="s">
        <v>658</v>
      </c>
      <c r="Q57" s="1" t="s">
        <v>583</v>
      </c>
    </row>
    <row r="58" customFormat="false" ht="13.5" hidden="false" customHeight="true" outlineLevel="0" collapsed="false">
      <c r="A58" s="213" t="s">
        <v>724</v>
      </c>
      <c r="B58" s="213" t="s">
        <v>682</v>
      </c>
      <c r="C58" s="214" t="n">
        <v>125000</v>
      </c>
      <c r="D58" s="214" t="n">
        <f aca="false">C58/12</f>
        <v>10416.6666666667</v>
      </c>
      <c r="E58" s="215" t="n">
        <v>6</v>
      </c>
      <c r="F58" s="213" t="s">
        <v>636</v>
      </c>
      <c r="G58" s="215" t="s">
        <v>584</v>
      </c>
      <c r="H58" s="216" t="n">
        <v>0</v>
      </c>
      <c r="I58" s="216" t="n">
        <v>0</v>
      </c>
      <c r="J58" s="213" t="s">
        <v>651</v>
      </c>
      <c r="K58" s="215"/>
      <c r="L58" s="213" t="s">
        <v>638</v>
      </c>
      <c r="M58" s="213"/>
      <c r="N58" s="213" t="s">
        <v>723</v>
      </c>
      <c r="O58" s="213" t="s">
        <v>636</v>
      </c>
      <c r="P58" s="213" t="s">
        <v>683</v>
      </c>
      <c r="Q58" s="1" t="s">
        <v>583</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725</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726</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727</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728</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726</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727</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728</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726</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729</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727</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728</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726</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729</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727</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728</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726</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729</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727</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728</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726</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729</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727</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728</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726</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729</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727</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728</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730</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731</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732</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734</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735</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736</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737</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738</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739</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740</v>
      </c>
      <c r="B55" s="224" t="s">
        <v>741</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742</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743</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744</v>
      </c>
      <c r="B3" s="4"/>
      <c r="C3" s="4"/>
      <c r="D3" s="4"/>
      <c r="E3" s="4"/>
      <c r="F3" s="4"/>
      <c r="G3" s="4"/>
      <c r="H3" s="3"/>
      <c r="I3" s="3"/>
    </row>
    <row r="4" customFormat="false" ht="15" hidden="false" customHeight="true" outlineLevel="0" collapsed="false">
      <c r="A4" s="23" t="s">
        <v>745</v>
      </c>
      <c r="B4" s="23" t="s">
        <v>746</v>
      </c>
      <c r="C4" s="23" t="s">
        <v>747</v>
      </c>
      <c r="D4" s="23" t="s">
        <v>748</v>
      </c>
      <c r="E4" s="23" t="s">
        <v>749</v>
      </c>
      <c r="F4" s="23" t="s">
        <v>750</v>
      </c>
      <c r="G4" s="23" t="s">
        <v>751</v>
      </c>
      <c r="H4" s="3"/>
      <c r="I4" s="3"/>
    </row>
    <row r="5" customFormat="false" ht="15" hidden="false" customHeight="true" outlineLevel="0" collapsed="false">
      <c r="A5" s="79" t="s">
        <v>752</v>
      </c>
      <c r="B5" s="226" t="n">
        <f aca="false">Assumptions!B4</f>
        <v>0.06</v>
      </c>
      <c r="C5" s="227" t="n">
        <v>0.06</v>
      </c>
      <c r="D5" s="228" t="n">
        <v>0.04</v>
      </c>
      <c r="E5" s="228" t="n">
        <v>0.08</v>
      </c>
      <c r="F5" s="79" t="s">
        <v>753</v>
      </c>
      <c r="G5" s="69" t="s">
        <v>754</v>
      </c>
      <c r="H5" s="3"/>
      <c r="I5" s="3"/>
    </row>
    <row r="6" customFormat="false" ht="15" hidden="false" customHeight="true" outlineLevel="0" collapsed="false">
      <c r="A6" s="79" t="s">
        <v>755</v>
      </c>
      <c r="B6" s="226" t="n">
        <f aca="false">Assumptions!B5</f>
        <v>0.06</v>
      </c>
      <c r="C6" s="227" t="n">
        <v>0.06</v>
      </c>
      <c r="D6" s="228" t="n">
        <v>0.04</v>
      </c>
      <c r="E6" s="228" t="n">
        <v>0.08</v>
      </c>
      <c r="F6" s="79" t="s">
        <v>753</v>
      </c>
      <c r="G6" s="69" t="s">
        <v>754</v>
      </c>
      <c r="H6" s="3"/>
      <c r="I6" s="3"/>
    </row>
    <row r="7" customFormat="false" ht="15" hidden="false" customHeight="true" outlineLevel="0" collapsed="false">
      <c r="A7" s="79" t="s">
        <v>756</v>
      </c>
      <c r="B7" s="226" t="n">
        <f aca="false">Assumptions!B6</f>
        <v>0.02</v>
      </c>
      <c r="C7" s="227" t="n">
        <v>0.02</v>
      </c>
      <c r="D7" s="228" t="n">
        <v>0.01</v>
      </c>
      <c r="E7" s="228" t="n">
        <v>0.03</v>
      </c>
      <c r="F7" s="79" t="s">
        <v>753</v>
      </c>
      <c r="G7" s="69" t="s">
        <v>757</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758</v>
      </c>
      <c r="B9" s="226" t="n">
        <f aca="false">Assumptions!B26</f>
        <v>0.02</v>
      </c>
      <c r="C9" s="227" t="n">
        <v>0.02</v>
      </c>
      <c r="D9" s="228" t="n">
        <v>0</v>
      </c>
      <c r="E9" s="228" t="n">
        <v>0.04</v>
      </c>
      <c r="F9" s="79" t="s">
        <v>753</v>
      </c>
      <c r="G9" s="69" t="s">
        <v>759</v>
      </c>
      <c r="H9" s="3"/>
      <c r="I9" s="3"/>
    </row>
    <row r="10" customFormat="false" ht="15" hidden="false" customHeight="true" outlineLevel="0" collapsed="false">
      <c r="A10" s="79" t="s">
        <v>760</v>
      </c>
      <c r="B10" s="226" t="n">
        <f aca="false">Assumptions!B15</f>
        <v>0.015</v>
      </c>
      <c r="C10" s="227" t="n">
        <v>0.015</v>
      </c>
      <c r="D10" s="228" t="n">
        <v>0.01</v>
      </c>
      <c r="E10" s="228" t="n">
        <v>0.02</v>
      </c>
      <c r="F10" s="79" t="s">
        <v>753</v>
      </c>
      <c r="G10" s="69" t="s">
        <v>761</v>
      </c>
      <c r="H10" s="3"/>
      <c r="I10" s="3"/>
    </row>
    <row r="11" customFormat="false" ht="15" hidden="false" customHeight="true" outlineLevel="0" collapsed="false">
      <c r="A11" s="79" t="s">
        <v>762</v>
      </c>
      <c r="B11" s="226" t="n">
        <f aca="false">Assumptions!B16</f>
        <v>0.0074</v>
      </c>
      <c r="C11" s="227" t="n">
        <v>0.0074</v>
      </c>
      <c r="D11" s="228" t="n">
        <v>0.005</v>
      </c>
      <c r="E11" s="228" t="n">
        <v>0.015</v>
      </c>
      <c r="F11" s="79" t="s">
        <v>753</v>
      </c>
      <c r="G11" s="69" t="s">
        <v>763</v>
      </c>
      <c r="H11" s="3"/>
      <c r="I11" s="3"/>
    </row>
    <row r="12" customFormat="false" ht="15" hidden="false" customHeight="true" outlineLevel="0" collapsed="false">
      <c r="A12" s="79" t="s">
        <v>764</v>
      </c>
      <c r="B12" s="226" t="n">
        <f aca="false">Assumptions!B17</f>
        <v>0.0325</v>
      </c>
      <c r="C12" s="227" t="n">
        <v>0.0325</v>
      </c>
      <c r="D12" s="228" t="n">
        <v>0.02</v>
      </c>
      <c r="E12" s="228" t="n">
        <v>0.05</v>
      </c>
      <c r="F12" s="79" t="s">
        <v>753</v>
      </c>
      <c r="G12" s="69" t="s">
        <v>765</v>
      </c>
      <c r="H12" s="3"/>
      <c r="I12" s="3"/>
    </row>
    <row r="13" customFormat="false" ht="15" hidden="false" customHeight="true" outlineLevel="0" collapsed="false">
      <c r="A13" s="79" t="s">
        <v>766</v>
      </c>
      <c r="B13" s="226" t="n">
        <f aca="false">Assumptions!B34</f>
        <v>0.15</v>
      </c>
      <c r="C13" s="227" t="n">
        <v>0.15</v>
      </c>
      <c r="D13" s="228" t="n">
        <v>0.1</v>
      </c>
      <c r="E13" s="228" t="n">
        <v>0.2</v>
      </c>
      <c r="F13" s="79" t="s">
        <v>753</v>
      </c>
      <c r="G13" s="69" t="s">
        <v>767</v>
      </c>
      <c r="H13" s="3"/>
      <c r="I13" s="3"/>
    </row>
    <row r="14" customFormat="false" ht="15" hidden="false" customHeight="true" outlineLevel="0" collapsed="false">
      <c r="A14" s="79" t="s">
        <v>768</v>
      </c>
      <c r="B14" s="217" t="n">
        <f aca="false">Assumptions!B36</f>
        <v>112000</v>
      </c>
      <c r="C14" s="229" t="n">
        <v>130000</v>
      </c>
      <c r="D14" s="230" t="n">
        <v>100000</v>
      </c>
      <c r="E14" s="230" t="n">
        <v>175000</v>
      </c>
      <c r="F14" s="79" t="s">
        <v>769</v>
      </c>
      <c r="G14" s="69" t="s">
        <v>770</v>
      </c>
      <c r="H14" s="3"/>
      <c r="I14" s="3"/>
    </row>
    <row r="15" customFormat="false" ht="15" hidden="false" customHeight="true" outlineLevel="0" collapsed="false">
      <c r="A15" s="79" t="s">
        <v>771</v>
      </c>
      <c r="B15" s="226" t="n">
        <f aca="false">Assumptions!B58</f>
        <v>0.15</v>
      </c>
      <c r="C15" s="227" t="n">
        <v>0.15</v>
      </c>
      <c r="D15" s="228" t="n">
        <v>0.1</v>
      </c>
      <c r="E15" s="228" t="n">
        <v>0.2</v>
      </c>
      <c r="F15" s="79" t="s">
        <v>753</v>
      </c>
      <c r="G15" s="69" t="s">
        <v>772</v>
      </c>
      <c r="H15" s="3"/>
      <c r="I15" s="3"/>
    </row>
    <row r="16" customFormat="false" ht="15" hidden="false" customHeight="true" outlineLevel="0" collapsed="false">
      <c r="A16" s="79" t="s">
        <v>773</v>
      </c>
      <c r="B16" s="226" t="n">
        <f aca="false">Assumptions!B47</f>
        <v>0.01</v>
      </c>
      <c r="C16" s="227" t="n">
        <v>0.01</v>
      </c>
      <c r="D16" s="228" t="n">
        <v>0.005</v>
      </c>
      <c r="E16" s="228" t="n">
        <v>0.02</v>
      </c>
      <c r="F16" s="79" t="s">
        <v>753</v>
      </c>
      <c r="G16" s="69" t="s">
        <v>774</v>
      </c>
      <c r="H16" s="3"/>
      <c r="I16" s="3"/>
    </row>
    <row r="17" customFormat="false" ht="15" hidden="false" customHeight="true" outlineLevel="0" collapsed="false">
      <c r="A17" s="79" t="s">
        <v>775</v>
      </c>
      <c r="B17" s="226" t="n">
        <f aca="false">Assumptions!B48</f>
        <v>0.03</v>
      </c>
      <c r="C17" s="227" t="n">
        <v>0.03</v>
      </c>
      <c r="D17" s="228" t="n">
        <v>0.02</v>
      </c>
      <c r="E17" s="228" t="n">
        <v>0.05</v>
      </c>
      <c r="F17" s="79" t="s">
        <v>753</v>
      </c>
      <c r="G17" s="69" t="s">
        <v>776</v>
      </c>
      <c r="H17" s="3"/>
      <c r="I17" s="3"/>
    </row>
    <row r="18" customFormat="false" ht="15" hidden="false" customHeight="true" outlineLevel="0" collapsed="false">
      <c r="A18" s="79" t="s">
        <v>777</v>
      </c>
      <c r="B18" s="231" t="n">
        <v>10</v>
      </c>
      <c r="C18" s="232" t="n">
        <v>10</v>
      </c>
      <c r="D18" s="233" t="n">
        <v>5</v>
      </c>
      <c r="E18" s="233" t="n">
        <v>15</v>
      </c>
      <c r="F18" s="79" t="s">
        <v>778</v>
      </c>
      <c r="G18" s="69" t="s">
        <v>779</v>
      </c>
      <c r="H18" s="3"/>
      <c r="I18" s="3"/>
    </row>
    <row r="19" customFormat="false" ht="15" hidden="false" customHeight="true" outlineLevel="0" collapsed="false">
      <c r="A19" s="79" t="s">
        <v>780</v>
      </c>
      <c r="B19" s="234" t="n">
        <v>18700</v>
      </c>
      <c r="C19" s="229" t="n">
        <v>18700</v>
      </c>
      <c r="D19" s="230" t="n">
        <v>15000</v>
      </c>
      <c r="E19" s="230" t="n">
        <v>25000</v>
      </c>
      <c r="F19" s="79" t="s">
        <v>769</v>
      </c>
      <c r="G19" s="69" t="s">
        <v>781</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782</v>
      </c>
      <c r="B22" s="4"/>
      <c r="C22" s="4"/>
      <c r="D22" s="4"/>
      <c r="E22" s="4"/>
      <c r="F22" s="4"/>
      <c r="G22" s="4"/>
      <c r="H22" s="3"/>
      <c r="I22" s="3"/>
    </row>
    <row r="23" customFormat="false" ht="15" hidden="false" customHeight="true" outlineLevel="0" collapsed="false">
      <c r="A23" s="23" t="s">
        <v>561</v>
      </c>
      <c r="B23" s="23" t="s">
        <v>567</v>
      </c>
      <c r="C23" s="23" t="s">
        <v>783</v>
      </c>
      <c r="D23" s="23" t="s">
        <v>572</v>
      </c>
      <c r="E23" s="23" t="s">
        <v>564</v>
      </c>
      <c r="F23" s="23" t="s">
        <v>784</v>
      </c>
      <c r="G23" s="23" t="s">
        <v>571</v>
      </c>
      <c r="H23" s="3"/>
      <c r="I23" s="3"/>
    </row>
    <row r="24" customFormat="false" ht="15" hidden="false" customHeight="true" outlineLevel="0" collapsed="false">
      <c r="A24" s="79" t="s">
        <v>7</v>
      </c>
      <c r="B24" s="235" t="str">
        <f aca="false">Projects!$G$2</f>
        <v>Yes</v>
      </c>
      <c r="C24" s="234" t="n">
        <v>5321971</v>
      </c>
      <c r="D24" s="79" t="s">
        <v>785</v>
      </c>
      <c r="E24" s="79" t="s">
        <v>786</v>
      </c>
      <c r="F24" s="79" t="s">
        <v>583</v>
      </c>
      <c r="G24" s="79" t="s">
        <v>583</v>
      </c>
      <c r="H24" s="3"/>
      <c r="I24" s="3"/>
    </row>
    <row r="25" customFormat="false" ht="15" hidden="false" customHeight="true" outlineLevel="0" collapsed="false">
      <c r="A25" s="79" t="s">
        <v>8</v>
      </c>
      <c r="B25" s="235" t="str">
        <f aca="false">Projects!$G$3</f>
        <v>Yes</v>
      </c>
      <c r="C25" s="234" t="n">
        <v>19982132</v>
      </c>
      <c r="D25" s="79" t="s">
        <v>785</v>
      </c>
      <c r="E25" s="79" t="s">
        <v>787</v>
      </c>
      <c r="F25" s="79" t="s">
        <v>583</v>
      </c>
      <c r="G25" s="79" t="s">
        <v>583</v>
      </c>
      <c r="H25" s="3"/>
      <c r="I25" s="3"/>
    </row>
    <row r="26" customFormat="false" ht="15" hidden="false" customHeight="true" outlineLevel="0" collapsed="false">
      <c r="A26" s="79" t="s">
        <v>9</v>
      </c>
      <c r="B26" s="235" t="str">
        <f aca="false">Projects!$G$4</f>
        <v>Yes</v>
      </c>
      <c r="C26" s="234" t="n">
        <v>11673185</v>
      </c>
      <c r="D26" s="79" t="s">
        <v>788</v>
      </c>
      <c r="E26" s="79" t="s">
        <v>789</v>
      </c>
      <c r="F26" s="79" t="s">
        <v>583</v>
      </c>
      <c r="G26" s="79" t="s">
        <v>584</v>
      </c>
      <c r="H26" s="3"/>
      <c r="I26" s="3"/>
    </row>
    <row r="27" customFormat="false" ht="15" hidden="false" customHeight="true" outlineLevel="0" collapsed="false">
      <c r="A27" s="79" t="s">
        <v>10</v>
      </c>
      <c r="B27" s="235" t="str">
        <f aca="false">Projects!$G$5</f>
        <v>Yes</v>
      </c>
      <c r="C27" s="234" t="n">
        <v>13492534</v>
      </c>
      <c r="D27" s="79" t="s">
        <v>788</v>
      </c>
      <c r="E27" s="79" t="s">
        <v>789</v>
      </c>
      <c r="F27" s="79" t="s">
        <v>583</v>
      </c>
      <c r="G27" s="79" t="s">
        <v>584</v>
      </c>
      <c r="H27" s="3"/>
      <c r="I27" s="3"/>
    </row>
    <row r="28" customFormat="false" ht="15" hidden="false" customHeight="true" outlineLevel="0" collapsed="false">
      <c r="A28" s="79" t="s">
        <v>11</v>
      </c>
      <c r="B28" s="235" t="str">
        <f aca="false">Projects!$G$6</f>
        <v>Yes</v>
      </c>
      <c r="C28" s="234" t="n">
        <v>4052747</v>
      </c>
      <c r="D28" s="79" t="s">
        <v>788</v>
      </c>
      <c r="E28" s="79" t="s">
        <v>790</v>
      </c>
      <c r="F28" s="79" t="s">
        <v>583</v>
      </c>
      <c r="G28" s="79" t="s">
        <v>584</v>
      </c>
      <c r="H28" s="3"/>
      <c r="I28" s="3"/>
    </row>
    <row r="29" customFormat="false" ht="15" hidden="false" customHeight="true" outlineLevel="0" collapsed="false">
      <c r="A29" s="79" t="s">
        <v>12</v>
      </c>
      <c r="B29" s="235" t="str">
        <f aca="false">Projects!$G$7</f>
        <v>Yes</v>
      </c>
      <c r="C29" s="234" t="n">
        <v>42794765</v>
      </c>
      <c r="D29" s="79" t="s">
        <v>785</v>
      </c>
      <c r="E29" s="79" t="s">
        <v>791</v>
      </c>
      <c r="F29" s="79" t="s">
        <v>584</v>
      </c>
      <c r="G29" s="79" t="s">
        <v>584</v>
      </c>
      <c r="H29" s="3"/>
      <c r="I29" s="3"/>
    </row>
    <row r="30" customFormat="false" ht="15" hidden="false" customHeight="true" outlineLevel="0" collapsed="false">
      <c r="A30" s="79" t="s">
        <v>13</v>
      </c>
      <c r="B30" s="235" t="str">
        <f aca="false">Projects!$G$8</f>
        <v>Yes</v>
      </c>
      <c r="C30" s="234" t="n">
        <v>12993776.05</v>
      </c>
      <c r="D30" s="79" t="s">
        <v>788</v>
      </c>
      <c r="E30" s="79" t="s">
        <v>790</v>
      </c>
      <c r="F30" s="79" t="s">
        <v>583</v>
      </c>
      <c r="G30" s="79" t="s">
        <v>584</v>
      </c>
      <c r="H30" s="3"/>
      <c r="I30" s="3"/>
    </row>
    <row r="31" customFormat="false" ht="15" hidden="false" customHeight="true" outlineLevel="0" collapsed="false">
      <c r="A31" s="79" t="s">
        <v>14</v>
      </c>
      <c r="B31" s="235" t="str">
        <f aca="false">Projects!$G$9</f>
        <v>Yes</v>
      </c>
      <c r="C31" s="234" t="n">
        <v>14337010.8</v>
      </c>
      <c r="D31" s="79" t="s">
        <v>788</v>
      </c>
      <c r="E31" s="79" t="s">
        <v>792</v>
      </c>
      <c r="F31" s="79" t="s">
        <v>583</v>
      </c>
      <c r="G31" s="79" t="s">
        <v>584</v>
      </c>
      <c r="H31" s="3"/>
      <c r="I31" s="3"/>
    </row>
    <row r="32" customFormat="false" ht="15" hidden="false" customHeight="true" outlineLevel="0" collapsed="false">
      <c r="A32" s="79" t="s">
        <v>15</v>
      </c>
      <c r="B32" s="235" t="str">
        <f aca="false">Projects!$G$10</f>
        <v>Yes</v>
      </c>
      <c r="C32" s="234" t="n">
        <v>21263405</v>
      </c>
      <c r="D32" s="79" t="s">
        <v>788</v>
      </c>
      <c r="E32" s="79" t="s">
        <v>790</v>
      </c>
      <c r="F32" s="79" t="s">
        <v>583</v>
      </c>
      <c r="G32" s="79" t="s">
        <v>584</v>
      </c>
      <c r="H32" s="3"/>
      <c r="I32" s="3"/>
    </row>
    <row r="33" customFormat="false" ht="15" hidden="false" customHeight="true" outlineLevel="0" collapsed="false">
      <c r="A33" s="79" t="s">
        <v>16</v>
      </c>
      <c r="B33" s="235" t="str">
        <f aca="false">Projects!$G$11</f>
        <v>Yes</v>
      </c>
      <c r="C33" s="234" t="n">
        <v>9577109</v>
      </c>
      <c r="D33" s="79" t="s">
        <v>785</v>
      </c>
      <c r="E33" s="79" t="s">
        <v>790</v>
      </c>
      <c r="F33" s="79" t="s">
        <v>584</v>
      </c>
      <c r="G33" s="79" t="s">
        <v>583</v>
      </c>
      <c r="H33" s="3"/>
      <c r="I33" s="3"/>
    </row>
    <row r="34" customFormat="false" ht="15" hidden="false" customHeight="true" outlineLevel="0" collapsed="false">
      <c r="A34" s="79" t="s">
        <v>17</v>
      </c>
      <c r="B34" s="235" t="str">
        <f aca="false">Projects!$G$12</f>
        <v>Yes</v>
      </c>
      <c r="C34" s="234" t="n">
        <v>7545203</v>
      </c>
      <c r="D34" s="79" t="s">
        <v>785</v>
      </c>
      <c r="E34" s="79" t="s">
        <v>790</v>
      </c>
      <c r="F34" s="79" t="s">
        <v>584</v>
      </c>
      <c r="G34" s="79" t="s">
        <v>583</v>
      </c>
      <c r="H34" s="3"/>
      <c r="I34" s="3"/>
    </row>
    <row r="35" customFormat="false" ht="15" hidden="false" customHeight="true" outlineLevel="0" collapsed="false">
      <c r="A35" s="79" t="s">
        <v>18</v>
      </c>
      <c r="B35" s="235" t="str">
        <f aca="false">Projects!$G$13</f>
        <v>Yes</v>
      </c>
      <c r="C35" s="234" t="n">
        <v>45266770</v>
      </c>
      <c r="D35" s="79" t="s">
        <v>785</v>
      </c>
      <c r="E35" s="79" t="s">
        <v>792</v>
      </c>
      <c r="F35" s="79" t="s">
        <v>584</v>
      </c>
      <c r="G35" s="79" t="s">
        <v>584</v>
      </c>
      <c r="H35" s="3"/>
      <c r="I35" s="3"/>
    </row>
    <row r="36" customFormat="false" ht="15" hidden="false" customHeight="true" outlineLevel="0" collapsed="false">
      <c r="A36" s="79" t="s">
        <v>19</v>
      </c>
      <c r="B36" s="235" t="str">
        <f aca="false">Projects!$G$14</f>
        <v>Yes</v>
      </c>
      <c r="C36" s="234" t="n">
        <v>41354632</v>
      </c>
      <c r="D36" s="79" t="s">
        <v>785</v>
      </c>
      <c r="E36" s="79" t="s">
        <v>792</v>
      </c>
      <c r="F36" s="79" t="s">
        <v>584</v>
      </c>
      <c r="G36" s="79" t="s">
        <v>584</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793</v>
      </c>
      <c r="B39" s="4"/>
      <c r="C39" s="4"/>
      <c r="D39" s="4"/>
      <c r="E39" s="4"/>
      <c r="F39" s="4"/>
      <c r="G39" s="4"/>
      <c r="H39" s="4"/>
      <c r="I39" s="4"/>
    </row>
    <row r="40" customFormat="false" ht="15" hidden="false" customHeight="true" outlineLevel="0" collapsed="false">
      <c r="A40" s="23" t="s">
        <v>794</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795</v>
      </c>
      <c r="B41" s="219" t="n">
        <f aca="false">'Annual Summary'!B7</f>
        <v>56706679.8932844</v>
      </c>
      <c r="C41" s="219" t="n">
        <f aca="false">'Annual Summary'!C7</f>
        <v>112652354.430867</v>
      </c>
      <c r="D41" s="219" t="n">
        <f aca="false">'Annual Summary'!D7</f>
        <v>147414143.491301</v>
      </c>
      <c r="E41" s="219" t="n">
        <f aca="false">'Annual Summary'!E7</f>
        <v>165910427.490004</v>
      </c>
      <c r="F41" s="219" t="n">
        <f aca="false">'Annual Summary'!F7</f>
        <v>137445528.920152</v>
      </c>
      <c r="G41" s="219" t="n">
        <f aca="false">'Annual Summary'!G7</f>
        <v>101576343</v>
      </c>
      <c r="H41" s="219" t="n">
        <f aca="false">'Annual Summary'!H7</f>
        <v>8436822</v>
      </c>
      <c r="I41" s="219" t="n">
        <f aca="false">'Annual Summary'!I7</f>
        <v>0</v>
      </c>
    </row>
    <row r="42" customFormat="false" ht="15" hidden="false" customHeight="true" outlineLevel="0" collapsed="false">
      <c r="A42" s="237" t="s">
        <v>98</v>
      </c>
      <c r="B42" s="238" t="n">
        <f aca="false">'Annual Summary'!B22</f>
        <v>2148304.44493141</v>
      </c>
      <c r="C42" s="238" t="n">
        <f aca="false">'Annual Summary'!C22</f>
        <v>4554833.65288709</v>
      </c>
      <c r="D42" s="238" t="n">
        <f aca="false">'Annual Summary'!D22</f>
        <v>8581275.91312808</v>
      </c>
      <c r="E42" s="238" t="n">
        <f aca="false">'Annual Summary'!E22</f>
        <v>10922215.7222797</v>
      </c>
      <c r="F42" s="238" t="n">
        <f aca="false">'Annual Summary'!F22</f>
        <v>9075284.96081508</v>
      </c>
      <c r="G42" s="238" t="n">
        <f aca="false">'Annual Summary'!G22</f>
        <v>4739447.25004539</v>
      </c>
      <c r="H42" s="238" t="n">
        <f aca="false">'Annual Summary'!H22</f>
        <v>-3227422.5667027</v>
      </c>
      <c r="I42" s="238" t="n">
        <f aca="false">'Annual Summary'!I22</f>
        <v>-5087953.55770393</v>
      </c>
    </row>
    <row r="43" customFormat="false" ht="15" hidden="false" customHeight="true" outlineLevel="0" collapsed="false">
      <c r="A43" s="79" t="s">
        <v>796</v>
      </c>
      <c r="B43" s="226" t="n">
        <f aca="false">'Annual Summary'!B23</f>
        <v>0.0378845040650287</v>
      </c>
      <c r="C43" s="226" t="n">
        <f aca="false">'Annual Summary'!C23</f>
        <v>0.040432653857069</v>
      </c>
      <c r="D43" s="226" t="n">
        <f aca="false">'Annual Summary'!D23</f>
        <v>0.0582120257248891</v>
      </c>
      <c r="E43" s="226" t="n">
        <f aca="false">'Annual Summary'!E23</f>
        <v>0.0658320027711201</v>
      </c>
      <c r="F43" s="226" t="n">
        <f aca="false">'Annual Summary'!F23</f>
        <v>0.066028229743925</v>
      </c>
      <c r="G43" s="226" t="n">
        <f aca="false">'Annual Summary'!G23</f>
        <v>0.0466589671381001</v>
      </c>
      <c r="H43" s="226" t="n">
        <f aca="false">'Annual Summary'!H23</f>
        <v>-0.382540080459527</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913272.31</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-1514955.34</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636673.29358141</v>
      </c>
      <c r="C48" s="238" t="n">
        <f aca="false">'Annual Summary'!C30</f>
        <v>2565823.38326746</v>
      </c>
      <c r="D48" s="238" t="n">
        <f aca="false">'Annual Summary'!D30</f>
        <v>6408090.32794871</v>
      </c>
      <c r="E48" s="238" t="n">
        <f aca="false">'Annual Summary'!E30</f>
        <v>8457108.75592304</v>
      </c>
      <c r="F48" s="238" t="n">
        <f aca="false">'Annual Summary'!F30</f>
        <v>6564988.97513131</v>
      </c>
      <c r="G48" s="238" t="n">
        <f aca="false">'Annual Summary'!G30</f>
        <v>2304070.81464794</v>
      </c>
      <c r="H48" s="238" t="n">
        <f aca="false">'Annual Summary'!H30</f>
        <v>-5542304.0078081</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797</v>
      </c>
      <c r="B50" s="240" t="n">
        <f aca="false">'Annual Summary'!B52</f>
        <v>1657677.36518794</v>
      </c>
      <c r="C50" s="240" t="n">
        <f aca="false">'Annual Summary'!C52</f>
        <v>1308414.8228823</v>
      </c>
      <c r="D50" s="240" t="n">
        <f aca="false">'Annual Summary'!D52</f>
        <v>4606214.61030657</v>
      </c>
      <c r="E50" s="240" t="n">
        <f aca="false">'Annual Summary'!E52</f>
        <v>9195298.10915124</v>
      </c>
      <c r="F50" s="240" t="n">
        <f aca="false">'Annual Summary'!F52</f>
        <v>11845512.6197469</v>
      </c>
      <c r="G50" s="240" t="n">
        <f aca="false">'Annual Summary'!G52</f>
        <v>11188814.7674038</v>
      </c>
      <c r="H50" s="240" t="n">
        <f aca="false">'Annual Summary'!H52</f>
        <v>5546702.96232783</v>
      </c>
      <c r="I50" s="240" t="n">
        <f aca="false">'Annual Summary'!I52</f>
        <v>-688752.958697118</v>
      </c>
    </row>
    <row r="51" customFormat="false" ht="15" hidden="false" customHeight="true" outlineLevel="0" collapsed="false">
      <c r="A51" s="239" t="s">
        <v>193</v>
      </c>
      <c r="B51" s="240" t="n">
        <f aca="false">'Annual Summary'!B49</f>
        <v>1835177.82653794</v>
      </c>
      <c r="C51" s="240" t="n">
        <f aca="false">'Annual Summary'!C49</f>
        <v>4355172.22052338</v>
      </c>
      <c r="D51" s="240" t="n">
        <f aca="false">'Annual Summary'!D49</f>
        <v>12710766.7549105</v>
      </c>
      <c r="E51" s="240" t="n">
        <f aca="false">'Annual Summary'!E49</f>
        <v>23532345.8631544</v>
      </c>
      <c r="F51" s="240" t="n">
        <f aca="false">'Annual Summary'!F49</f>
        <v>33196782.0636631</v>
      </c>
      <c r="G51" s="240" t="n">
        <f aca="false">'Annual Summary'!G49</f>
        <v>38527650.1012085</v>
      </c>
      <c r="H51" s="240" t="n">
        <f aca="false">'Annual Summary'!H49</f>
        <v>36359367.3570058</v>
      </c>
      <c r="I51" s="240" t="n">
        <f aca="false">'Annual Summary'!I49</f>
        <v>31271413.7993019</v>
      </c>
    </row>
    <row r="52" customFormat="false" ht="15" hidden="false" customHeight="true" outlineLevel="0" collapsed="false">
      <c r="A52" s="239" t="s">
        <v>310</v>
      </c>
      <c r="B52" s="240" t="n">
        <f aca="false">'Annual Summary'!B50</f>
        <v>-177500.46135</v>
      </c>
      <c r="C52" s="240" t="n">
        <f aca="false">'Annual Summary'!C50</f>
        <v>-3046757.39764108</v>
      </c>
      <c r="D52" s="240" t="n">
        <f aca="false">'Annual Summary'!D50</f>
        <v>-8104552.14460398</v>
      </c>
      <c r="E52" s="240" t="n">
        <f aca="false">'Annual Summary'!E50</f>
        <v>-14337047.7540031</v>
      </c>
      <c r="F52" s="240" t="n">
        <f aca="false">'Annual Summary'!F50</f>
        <v>-21351269.4439162</v>
      </c>
      <c r="G52" s="240" t="n">
        <f aca="false">'Annual Summary'!G50</f>
        <v>-27338835.3338047</v>
      </c>
      <c r="H52" s="240" t="n">
        <f aca="false">'Annual Summary'!H50</f>
        <v>-30812664.394678</v>
      </c>
      <c r="I52" s="240" t="n">
        <f aca="false">'Annual Summary'!I50</f>
        <v>-31960166.757999</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114921954.782205</v>
      </c>
      <c r="D54" s="217" t="n">
        <f aca="false">'Annual Summary'!D47</f>
        <v>69149692.430782</v>
      </c>
      <c r="E54" s="217" t="n">
        <f aca="false">'Annual Summary'!E47</f>
        <v>27179280.501624</v>
      </c>
      <c r="F54" s="217" t="n">
        <f aca="false">'Annual Summary'!F47</f>
        <v>23231535</v>
      </c>
      <c r="G54" s="217" t="n">
        <f aca="false">'Annual Summary'!G47</f>
        <v>2975850</v>
      </c>
      <c r="H54" s="217" t="n">
        <f aca="false">'Annual Summary'!H47</f>
        <v>0</v>
      </c>
      <c r="I54" s="217" t="n">
        <f aca="false">'Annual Summary'!I47</f>
        <v>0</v>
      </c>
    </row>
    <row r="55" customFormat="false" ht="15" hidden="false" customHeight="true" outlineLevel="0" collapsed="false">
      <c r="A55" s="79" t="s">
        <v>798</v>
      </c>
      <c r="B55" s="217" t="n">
        <f aca="false">'Annual Summary'!B45</f>
        <v>2378399.92018311</v>
      </c>
      <c r="C55" s="217" t="n">
        <f aca="false">'Annual Summary'!C45</f>
        <v>1714451.09866009</v>
      </c>
      <c r="D55" s="217" t="n">
        <f aca="false">'Annual Summary'!D45</f>
        <v>1035128.51554915</v>
      </c>
      <c r="E55" s="217" t="n">
        <f aca="false">'Annual Summary'!E45</f>
        <v>1199352.08415979</v>
      </c>
      <c r="F55" s="217" t="n">
        <f aca="false">'Annual Summary'!F45</f>
        <v>975331.495449082</v>
      </c>
      <c r="G55" s="217" t="n">
        <f aca="false">'Annual Summary'!G45</f>
        <v>820735.28594806</v>
      </c>
      <c r="H55" s="217" t="n">
        <f aca="false">'Annual Summary'!H45</f>
        <v>621470.381107174</v>
      </c>
      <c r="I55" s="217"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799</v>
      </c>
      <c r="B58" s="4"/>
      <c r="C58" s="4"/>
      <c r="D58" s="4"/>
      <c r="E58" s="4"/>
      <c r="F58" s="4"/>
      <c r="G58" s="4"/>
      <c r="H58" s="3"/>
      <c r="I58" s="3"/>
    </row>
    <row r="59" customFormat="false" ht="15" hidden="false" customHeight="true" outlineLevel="0" collapsed="false">
      <c r="A59" s="69" t="s">
        <v>800</v>
      </c>
      <c r="B59" s="3"/>
      <c r="C59" s="3"/>
      <c r="D59" s="3"/>
      <c r="E59" s="3"/>
      <c r="F59" s="3"/>
      <c r="G59" s="3"/>
      <c r="H59" s="3"/>
      <c r="I59" s="3"/>
    </row>
    <row r="60" customFormat="false" ht="15" hidden="false" customHeight="true" outlineLevel="0" collapsed="false">
      <c r="A60" s="241" t="s">
        <v>801</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802</v>
      </c>
      <c r="B68" s="4"/>
      <c r="C68" s="4"/>
      <c r="D68" s="4"/>
      <c r="E68" s="4"/>
      <c r="F68" s="4"/>
      <c r="G68" s="3"/>
      <c r="H68" s="3"/>
      <c r="I68" s="3"/>
    </row>
    <row r="69" customFormat="false" ht="15" hidden="false" customHeight="true" outlineLevel="0" collapsed="false">
      <c r="A69" s="23" t="s">
        <v>803</v>
      </c>
      <c r="B69" s="23" t="s">
        <v>804</v>
      </c>
      <c r="C69" s="23" t="s">
        <v>805</v>
      </c>
      <c r="D69" s="23" t="s">
        <v>806</v>
      </c>
      <c r="E69" s="23" t="s">
        <v>807</v>
      </c>
      <c r="F69" s="23" t="s">
        <v>808</v>
      </c>
      <c r="G69" s="3"/>
      <c r="H69" s="3"/>
      <c r="I69" s="3"/>
    </row>
    <row r="70" customFormat="false" ht="15" hidden="false" customHeight="true" outlineLevel="0" collapsed="false">
      <c r="A70" s="79" t="s">
        <v>809</v>
      </c>
      <c r="B70" s="234" t="n">
        <f aca="false">'Annual Summary'!B49</f>
        <v>1835177.82653794</v>
      </c>
      <c r="C70" s="230" t="n">
        <f aca="false">'Annual Summary'!C49</f>
        <v>4355172.22052338</v>
      </c>
      <c r="D70" s="230" t="n">
        <f aca="false">'Annual Summary'!E49</f>
        <v>23532345.8631544</v>
      </c>
      <c r="E70" s="230" t="n">
        <f aca="false">'Annual Summary'!G49</f>
        <v>38527650.1012085</v>
      </c>
      <c r="F70" s="230" t="n">
        <f aca="false">'Annual Summary'!I49</f>
        <v>31271413.7993019</v>
      </c>
      <c r="G70" s="3"/>
      <c r="H70" s="3"/>
      <c r="I70" s="3"/>
    </row>
    <row r="71" customFormat="false" ht="15" hidden="false" customHeight="true" outlineLevel="0" collapsed="false">
      <c r="A71" s="79" t="s">
        <v>810</v>
      </c>
      <c r="B71" s="234" t="n">
        <f aca="false">'Annual Summary'!B50</f>
        <v>-177500.46135</v>
      </c>
      <c r="C71" s="230" t="n">
        <f aca="false">'Annual Summary'!C50</f>
        <v>-3046757.39764108</v>
      </c>
      <c r="D71" s="230" t="n">
        <f aca="false">'Annual Summary'!E50</f>
        <v>-14337047.7540031</v>
      </c>
      <c r="E71" s="230" t="n">
        <f aca="false">'Annual Summary'!G50</f>
        <v>-27338835.3338047</v>
      </c>
      <c r="F71" s="230" t="n">
        <f aca="false">'Annual Summary'!I50</f>
        <v>-31960166.757999</v>
      </c>
      <c r="G71" s="3"/>
      <c r="H71" s="3"/>
      <c r="I71" s="3"/>
    </row>
    <row r="72" customFormat="false" ht="15" hidden="false" customHeight="true" outlineLevel="0" collapsed="false">
      <c r="A72" s="239" t="s">
        <v>811</v>
      </c>
      <c r="B72" s="245" t="n">
        <f aca="false">'Annual Summary'!B52</f>
        <v>1657677.36518794</v>
      </c>
      <c r="C72" s="246" t="n">
        <f aca="false">'Annual Summary'!C52</f>
        <v>1308414.8228823</v>
      </c>
      <c r="D72" s="246" t="n">
        <f aca="false">'Annual Summary'!E52</f>
        <v>9195298.10915124</v>
      </c>
      <c r="E72" s="246" t="n">
        <f aca="false">'Annual Summary'!G52</f>
        <v>11188814.7674038</v>
      </c>
      <c r="F72" s="246" t="n">
        <f aca="false">'Annual Summary'!I52</f>
        <v>-688752.958697118</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812</v>
      </c>
      <c r="B75" s="4"/>
      <c r="C75" s="4"/>
      <c r="D75" s="4"/>
      <c r="E75" s="4"/>
      <c r="F75" s="4"/>
      <c r="G75" s="3"/>
      <c r="H75" s="3"/>
      <c r="I75" s="3"/>
    </row>
    <row r="76" customFormat="false" ht="15" hidden="false" customHeight="true" outlineLevel="0" collapsed="false">
      <c r="A76" s="23" t="s">
        <v>561</v>
      </c>
      <c r="B76" s="23" t="s">
        <v>813</v>
      </c>
      <c r="C76" s="23" t="s">
        <v>814</v>
      </c>
      <c r="D76" s="23" t="s">
        <v>815</v>
      </c>
      <c r="E76" s="23" t="s">
        <v>816</v>
      </c>
      <c r="F76" s="23" t="s">
        <v>817</v>
      </c>
      <c r="G76" s="3"/>
      <c r="H76" s="3"/>
      <c r="I76" s="3"/>
    </row>
    <row r="77" customFormat="false" ht="15" hidden="false" customHeight="true" outlineLevel="0" collapsed="false">
      <c r="A77" s="79" t="s">
        <v>16</v>
      </c>
      <c r="B77" s="222" t="n">
        <v>95771</v>
      </c>
      <c r="C77" s="222" t="n">
        <v>60000</v>
      </c>
      <c r="D77" s="222" t="n">
        <v>0</v>
      </c>
      <c r="E77" s="220" t="n">
        <v>155771</v>
      </c>
      <c r="F77" s="69" t="s">
        <v>818</v>
      </c>
      <c r="G77" s="3"/>
      <c r="H77" s="3"/>
      <c r="I77" s="3"/>
    </row>
    <row r="78" customFormat="false" ht="15" hidden="false" customHeight="true" outlineLevel="0" collapsed="false">
      <c r="A78" s="79" t="s">
        <v>17</v>
      </c>
      <c r="B78" s="222" t="n">
        <v>75452</v>
      </c>
      <c r="C78" s="222" t="n">
        <v>60000</v>
      </c>
      <c r="D78" s="222" t="n">
        <v>0</v>
      </c>
      <c r="E78" s="220" t="n">
        <v>135452</v>
      </c>
      <c r="F78" s="69" t="s">
        <v>818</v>
      </c>
      <c r="G78" s="3"/>
      <c r="H78" s="3"/>
      <c r="I78" s="3"/>
    </row>
    <row r="79" customFormat="false" ht="15" hidden="false" customHeight="true" outlineLevel="0" collapsed="false">
      <c r="A79" s="79" t="s">
        <v>12</v>
      </c>
      <c r="B79" s="222" t="n">
        <v>579684</v>
      </c>
      <c r="C79" s="222" t="n">
        <v>150000</v>
      </c>
      <c r="D79" s="222" t="n">
        <v>0</v>
      </c>
      <c r="E79" s="220" t="n">
        <v>729684</v>
      </c>
      <c r="F79" s="69" t="s">
        <v>819</v>
      </c>
      <c r="G79" s="3"/>
      <c r="H79" s="3"/>
      <c r="I79" s="3"/>
    </row>
    <row r="80" customFormat="false" ht="15" hidden="false" customHeight="true" outlineLevel="0" collapsed="false">
      <c r="A80" s="79" t="s">
        <v>18</v>
      </c>
      <c r="B80" s="222" t="n">
        <v>602668</v>
      </c>
      <c r="C80" s="222" t="n">
        <v>150000</v>
      </c>
      <c r="D80" s="222" t="n">
        <v>1450000</v>
      </c>
      <c r="E80" s="220" t="n">
        <v>752668</v>
      </c>
      <c r="F80" s="69" t="s">
        <v>819</v>
      </c>
      <c r="G80" s="3"/>
      <c r="H80" s="3"/>
      <c r="I80" s="3"/>
    </row>
    <row r="81" customFormat="false" ht="15" hidden="false" customHeight="true" outlineLevel="0" collapsed="false">
      <c r="A81" s="79" t="s">
        <v>19</v>
      </c>
      <c r="B81" s="222" t="n">
        <v>563546</v>
      </c>
      <c r="C81" s="222" t="n">
        <v>150000</v>
      </c>
      <c r="D81" s="222" t="n">
        <v>0</v>
      </c>
      <c r="E81" s="220" t="n">
        <v>713546</v>
      </c>
      <c r="F81" s="69" t="s">
        <v>820</v>
      </c>
      <c r="G81" s="3"/>
      <c r="H81" s="3"/>
      <c r="I81" s="3"/>
    </row>
    <row r="82" customFormat="false" ht="15" hidden="false" customHeight="true" outlineLevel="0" collapsed="false">
      <c r="A82" s="218" t="s">
        <v>550</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821</v>
      </c>
      <c r="B85" s="4"/>
      <c r="C85" s="4"/>
      <c r="D85" s="4"/>
      <c r="E85" s="4"/>
      <c r="F85" s="4"/>
      <c r="G85" s="4"/>
      <c r="H85" s="3"/>
      <c r="I85" s="3"/>
    </row>
    <row r="86" customFormat="false" ht="15" hidden="false" customHeight="true" outlineLevel="0" collapsed="false">
      <c r="A86" s="79" t="s">
        <v>822</v>
      </c>
      <c r="B86" s="234" t="n">
        <v>86621402</v>
      </c>
      <c r="C86" s="3"/>
      <c r="D86" s="3"/>
      <c r="E86" s="3"/>
      <c r="F86" s="3"/>
      <c r="G86" s="3"/>
      <c r="H86" s="3"/>
      <c r="I86" s="3"/>
    </row>
    <row r="87" customFormat="false" ht="15" hidden="false" customHeight="true" outlineLevel="0" collapsed="false">
      <c r="A87" s="79" t="s">
        <v>823</v>
      </c>
      <c r="B87" s="247" t="n">
        <v>0.0325</v>
      </c>
      <c r="C87" s="3"/>
      <c r="D87" s="3"/>
      <c r="E87" s="3"/>
      <c r="F87" s="3"/>
      <c r="G87" s="3"/>
      <c r="H87" s="3"/>
      <c r="I87" s="3"/>
    </row>
    <row r="88" customFormat="false" ht="15" hidden="false" customHeight="true" outlineLevel="0" collapsed="false">
      <c r="A88" s="79" t="s">
        <v>824</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487</v>
      </c>
      <c r="G89" s="3"/>
      <c r="H89" s="3"/>
      <c r="I89" s="3"/>
    </row>
    <row r="90" customFormat="false" ht="15" hidden="false" customHeight="true" outlineLevel="0" collapsed="false">
      <c r="A90" s="221" t="s">
        <v>825</v>
      </c>
      <c r="B90" s="222" t="n">
        <v>0</v>
      </c>
      <c r="C90" s="222" t="n">
        <v>-956261</v>
      </c>
      <c r="D90" s="222" t="n">
        <v>-1465718</v>
      </c>
      <c r="E90" s="222" t="n">
        <v>-967911</v>
      </c>
      <c r="F90" s="222" t="n">
        <v>-3389890</v>
      </c>
      <c r="G90" s="3"/>
      <c r="H90" s="3"/>
      <c r="I90" s="3"/>
    </row>
    <row r="91" customFormat="false" ht="15" hidden="false" customHeight="true" outlineLevel="0" collapsed="false">
      <c r="A91" s="235" t="s">
        <v>826</v>
      </c>
      <c r="B91" s="217" t="n">
        <v>0</v>
      </c>
      <c r="C91" s="217" t="n">
        <v>-441351</v>
      </c>
      <c r="D91" s="217" t="n">
        <v>-676485</v>
      </c>
      <c r="E91" s="217" t="n">
        <v>-446728</v>
      </c>
      <c r="F91" s="217" t="n">
        <v>-1564564</v>
      </c>
      <c r="G91" s="3"/>
      <c r="H91" s="3"/>
      <c r="I91" s="3"/>
    </row>
    <row r="92" customFormat="false" ht="15" hidden="false" customHeight="true" outlineLevel="0" collapsed="false">
      <c r="A92" s="218" t="s">
        <v>827</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828</v>
      </c>
      <c r="B95" s="4"/>
      <c r="C95" s="4"/>
      <c r="D95" s="4"/>
      <c r="E95" s="4"/>
      <c r="F95" s="4"/>
      <c r="G95" s="4"/>
      <c r="H95" s="3"/>
      <c r="I95" s="3"/>
    </row>
    <row r="96" customFormat="false" ht="15" hidden="false" customHeight="true" outlineLevel="0" collapsed="false">
      <c r="A96" s="69" t="s">
        <v>829</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830</v>
      </c>
      <c r="B98" s="230" t="n">
        <f aca="false">'Annual Summary'!B47</f>
        <v>93841157.4299332</v>
      </c>
      <c r="C98" s="230" t="n">
        <f aca="false">'Annual Summary'!C47</f>
        <v>114921954.782205</v>
      </c>
      <c r="D98" s="230" t="n">
        <f aca="false">'Annual Summary'!D47</f>
        <v>69149692.430782</v>
      </c>
      <c r="E98" s="230" t="n">
        <f aca="false">'Annual Summary'!E47</f>
        <v>27179280.501624</v>
      </c>
      <c r="F98" s="3"/>
      <c r="G98" s="3"/>
      <c r="H98" s="3"/>
      <c r="I98" s="3"/>
    </row>
    <row r="99" customFormat="false" ht="15" hidden="false" customHeight="true" outlineLevel="0" collapsed="false">
      <c r="A99" s="221" t="s">
        <v>831</v>
      </c>
      <c r="B99" s="222" t="n">
        <f aca="false">B98*0.025</f>
        <v>2346028.93574833</v>
      </c>
      <c r="C99" s="222" t="n">
        <f aca="false">C98*0.025</f>
        <v>2873048.86955513</v>
      </c>
      <c r="D99" s="222" t="n">
        <f aca="false">D98*0.025</f>
        <v>1728742.31076955</v>
      </c>
      <c r="E99" s="222" t="n">
        <f aca="false">E98*0.025</f>
        <v>679482.0125406</v>
      </c>
      <c r="F99" s="3"/>
      <c r="G99" s="3"/>
      <c r="H99" s="3"/>
      <c r="I99" s="3"/>
    </row>
    <row r="100" customFormat="false" ht="15" hidden="false" customHeight="true" outlineLevel="0" collapsed="false">
      <c r="A100" s="79" t="s">
        <v>832</v>
      </c>
      <c r="B100" s="230" t="n">
        <f aca="false">'Annual Summary'!B52</f>
        <v>1657677.36518794</v>
      </c>
      <c r="C100" s="230" t="n">
        <f aca="false">'Annual Summary'!C52</f>
        <v>1308414.8228823</v>
      </c>
      <c r="D100" s="230" t="n">
        <f aca="false">'Annual Summary'!D52</f>
        <v>4606214.61030657</v>
      </c>
      <c r="E100" s="230" t="n">
        <f aca="false">'Annual Summary'!E52</f>
        <v>9195298.10915124</v>
      </c>
      <c r="F100" s="3"/>
      <c r="G100" s="3"/>
      <c r="H100" s="3"/>
      <c r="I100" s="3"/>
    </row>
    <row r="101" customFormat="false" ht="15" hidden="false" customHeight="true" outlineLevel="0" collapsed="false">
      <c r="A101" s="79" t="s">
        <v>833</v>
      </c>
      <c r="B101" s="230" t="n">
        <f aca="false">'Annual Summary'!B22*0.05</f>
        <v>107415.22224657</v>
      </c>
      <c r="C101" s="230" t="n">
        <f aca="false">'Annual Summary'!C22*0.05</f>
        <v>227741.682644355</v>
      </c>
      <c r="D101" s="230" t="n">
        <f aca="false">'Annual Summary'!D22*0.05</f>
        <v>429063.795656404</v>
      </c>
      <c r="E101" s="230" t="n">
        <f aca="false">'Annual Summary'!E22*0.05</f>
        <v>546110.786113984</v>
      </c>
      <c r="F101" s="3"/>
      <c r="G101" s="3"/>
      <c r="H101" s="3"/>
      <c r="I101" s="3"/>
    </row>
    <row r="102" customFormat="false" ht="15" hidden="false" customHeight="true" outlineLevel="0" collapsed="false">
      <c r="A102" s="79" t="s">
        <v>834</v>
      </c>
      <c r="B102" s="230" t="n">
        <f aca="false">B100+B101</f>
        <v>1765092.58743452</v>
      </c>
      <c r="C102" s="230" t="n">
        <f aca="false">C100+C101</f>
        <v>1536156.50552666</v>
      </c>
      <c r="D102" s="230" t="n">
        <f aca="false">D100+D101</f>
        <v>5035278.40596297</v>
      </c>
      <c r="E102" s="230" t="n">
        <f aca="false">E100+E101</f>
        <v>9741408.89526523</v>
      </c>
      <c r="F102" s="3"/>
      <c r="G102" s="3"/>
      <c r="H102" s="3"/>
      <c r="I102" s="3"/>
    </row>
    <row r="103" customFormat="false" ht="15" hidden="false" customHeight="true" outlineLevel="0" collapsed="false">
      <c r="A103" s="218" t="s">
        <v>835</v>
      </c>
      <c r="B103" s="219" t="n">
        <f aca="false">B102-B99</f>
        <v>-580936.348313815</v>
      </c>
      <c r="C103" s="219" t="n">
        <f aca="false">C102-C99</f>
        <v>-1336892.36402847</v>
      </c>
      <c r="D103" s="219" t="n">
        <f aca="false">D102-D99</f>
        <v>3306536.09519342</v>
      </c>
      <c r="E103" s="219" t="n">
        <f aca="false">E102-E99</f>
        <v>9061926.88272463</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836</v>
      </c>
      <c r="B106" s="4"/>
      <c r="C106" s="4"/>
      <c r="D106" s="4"/>
      <c r="E106" s="4"/>
      <c r="F106" s="4"/>
      <c r="G106" s="4"/>
      <c r="H106" s="3"/>
      <c r="I106" s="3"/>
    </row>
    <row r="107" customFormat="false" ht="15" hidden="false" customHeight="true" outlineLevel="0" collapsed="false">
      <c r="A107" s="79" t="s">
        <v>837</v>
      </c>
      <c r="B107" s="234" t="n">
        <v>15179956</v>
      </c>
      <c r="C107" s="3"/>
      <c r="D107" s="3"/>
      <c r="E107" s="3"/>
      <c r="F107" s="3"/>
      <c r="G107" s="3"/>
      <c r="H107" s="3"/>
      <c r="I107" s="3"/>
    </row>
    <row r="108" customFormat="false" ht="15" hidden="false" customHeight="true" outlineLevel="0" collapsed="false">
      <c r="A108" s="79" t="s">
        <v>838</v>
      </c>
      <c r="B108" s="247" t="n">
        <v>0.1136</v>
      </c>
      <c r="C108" s="3"/>
      <c r="D108" s="3"/>
      <c r="E108" s="3"/>
      <c r="F108" s="3"/>
      <c r="G108" s="3"/>
      <c r="H108" s="3"/>
      <c r="I108" s="3"/>
    </row>
    <row r="109" customFormat="false" ht="15" hidden="false" customHeight="true" outlineLevel="0" collapsed="false">
      <c r="A109" s="79" t="s">
        <v>839</v>
      </c>
      <c r="B109" s="220" t="n">
        <v>1724443</v>
      </c>
      <c r="C109" s="3"/>
      <c r="D109" s="3"/>
      <c r="E109" s="3"/>
      <c r="F109" s="3"/>
      <c r="G109" s="3"/>
      <c r="H109" s="3"/>
      <c r="I109" s="3"/>
    </row>
    <row r="110" customFormat="false" ht="15" hidden="false" customHeight="true" outlineLevel="0" collapsed="false">
      <c r="A110" s="79" t="s">
        <v>840</v>
      </c>
      <c r="B110" s="248" t="n">
        <v>3</v>
      </c>
      <c r="C110" s="3"/>
      <c r="D110" s="3"/>
      <c r="E110" s="3"/>
      <c r="F110" s="3"/>
      <c r="G110" s="3"/>
      <c r="H110" s="3"/>
      <c r="I110" s="3"/>
    </row>
    <row r="111" customFormat="false" ht="15" hidden="false" customHeight="true" outlineLevel="0" collapsed="false">
      <c r="A111" s="218" t="s">
        <v>841</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842</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487</v>
      </c>
      <c r="G114" s="3"/>
      <c r="H114" s="3"/>
      <c r="I114" s="3"/>
    </row>
    <row r="115" customFormat="false" ht="15" hidden="false" customHeight="true" outlineLevel="0" collapsed="false">
      <c r="A115" s="79" t="s">
        <v>843</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844</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845</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846</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847</v>
      </c>
      <c r="B122" s="4"/>
      <c r="C122" s="4"/>
      <c r="D122" s="4"/>
      <c r="E122" s="4"/>
      <c r="F122" s="4"/>
      <c r="G122" s="4"/>
      <c r="H122" s="3"/>
      <c r="I122" s="3"/>
    </row>
    <row r="123" customFormat="false" ht="15" hidden="false" customHeight="true" outlineLevel="0" collapsed="false">
      <c r="A123" s="69" t="s">
        <v>848</v>
      </c>
      <c r="B123" s="3"/>
      <c r="C123" s="3"/>
      <c r="D123" s="3"/>
      <c r="E123" s="3"/>
      <c r="F123" s="3"/>
      <c r="G123" s="3"/>
      <c r="H123" s="3"/>
      <c r="I123" s="3"/>
    </row>
    <row r="124" customFormat="false" ht="15" hidden="false" customHeight="true" outlineLevel="0" collapsed="false">
      <c r="A124" s="23"/>
      <c r="B124" s="23" t="s">
        <v>849</v>
      </c>
      <c r="C124" s="23" t="s">
        <v>850</v>
      </c>
      <c r="D124" s="23" t="s">
        <v>751</v>
      </c>
      <c r="E124" s="3"/>
      <c r="F124" s="3"/>
      <c r="G124" s="3"/>
      <c r="H124" s="3"/>
      <c r="I124" s="3"/>
    </row>
    <row r="125" customFormat="false" ht="15" hidden="false" customHeight="true" outlineLevel="0" collapsed="false">
      <c r="A125" s="79" t="s">
        <v>851</v>
      </c>
      <c r="B125" s="234" t="n">
        <v>1450000</v>
      </c>
      <c r="C125" s="249" t="s">
        <v>852</v>
      </c>
      <c r="D125" s="69" t="s">
        <v>853</v>
      </c>
      <c r="E125" s="3"/>
      <c r="F125" s="3"/>
      <c r="G125" s="3"/>
      <c r="H125" s="3"/>
      <c r="I125" s="3"/>
    </row>
    <row r="126" customFormat="false" ht="15" hidden="false" customHeight="true" outlineLevel="0" collapsed="false">
      <c r="A126" s="79" t="s">
        <v>854</v>
      </c>
      <c r="B126" s="222" t="n">
        <v>-1450000</v>
      </c>
      <c r="C126" s="249" t="s">
        <v>855</v>
      </c>
      <c r="D126" s="69" t="s">
        <v>856</v>
      </c>
      <c r="E126" s="3"/>
      <c r="F126" s="3"/>
      <c r="G126" s="3"/>
      <c r="H126" s="3"/>
      <c r="I126" s="3"/>
    </row>
    <row r="127" customFormat="false" ht="15" hidden="false" customHeight="true" outlineLevel="0" collapsed="false">
      <c r="A127" s="79" t="s">
        <v>857</v>
      </c>
      <c r="B127" s="3"/>
      <c r="C127" s="249" t="s">
        <v>858</v>
      </c>
      <c r="D127" s="69" t="s">
        <v>859</v>
      </c>
      <c r="E127" s="3"/>
      <c r="F127" s="3"/>
      <c r="G127" s="3"/>
      <c r="H127" s="3"/>
      <c r="I127" s="3"/>
    </row>
    <row r="128" customFormat="false" ht="15" hidden="false" customHeight="true" outlineLevel="0" collapsed="false">
      <c r="A128" s="218" t="s">
        <v>860</v>
      </c>
      <c r="B128" s="219" t="n">
        <v>0</v>
      </c>
      <c r="C128" s="218" t="s">
        <v>861</v>
      </c>
      <c r="D128" s="218" t="s">
        <v>862</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863</v>
      </c>
      <c r="B130" s="220" t="n">
        <v>362885</v>
      </c>
      <c r="C130" s="249" t="s">
        <v>864</v>
      </c>
      <c r="D130" s="69" t="s">
        <v>865</v>
      </c>
      <c r="E130" s="3"/>
      <c r="F130" s="3"/>
      <c r="G130" s="3"/>
      <c r="H130" s="3"/>
      <c r="I130" s="3"/>
    </row>
    <row r="131" customFormat="false" ht="15" hidden="false" customHeight="true" outlineLevel="0" collapsed="false">
      <c r="A131" s="218" t="s">
        <v>866</v>
      </c>
      <c r="B131" s="219" t="n">
        <v>1812885</v>
      </c>
      <c r="C131" s="218" t="s">
        <v>867</v>
      </c>
      <c r="D131" s="218" t="s">
        <v>868</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565</v>
      </c>
      <c r="B1" s="49" t="s">
        <v>869</v>
      </c>
      <c r="C1" s="49" t="s">
        <v>870</v>
      </c>
      <c r="D1" s="49" t="s">
        <v>871</v>
      </c>
      <c r="E1" s="49" t="s">
        <v>872</v>
      </c>
      <c r="F1" s="49" t="s">
        <v>873</v>
      </c>
      <c r="G1" s="49" t="s">
        <v>874</v>
      </c>
      <c r="H1" s="49" t="s">
        <v>875</v>
      </c>
      <c r="I1" s="49" t="s">
        <v>876</v>
      </c>
      <c r="J1" s="49" t="s">
        <v>877</v>
      </c>
      <c r="K1" s="49" t="s">
        <v>878</v>
      </c>
      <c r="L1" s="49" t="s">
        <v>879</v>
      </c>
      <c r="M1" s="49" t="s">
        <v>880</v>
      </c>
      <c r="N1" s="49" t="s">
        <v>881</v>
      </c>
      <c r="O1" s="49" t="s">
        <v>882</v>
      </c>
      <c r="P1" s="49" t="s">
        <v>883</v>
      </c>
      <c r="Q1" s="49" t="s">
        <v>884</v>
      </c>
      <c r="R1" s="49" t="s">
        <v>885</v>
      </c>
      <c r="S1" s="49" t="s">
        <v>886</v>
      </c>
      <c r="T1" s="49" t="s">
        <v>887</v>
      </c>
      <c r="U1" s="49" t="s">
        <v>888</v>
      </c>
      <c r="V1" s="49" t="s">
        <v>889</v>
      </c>
      <c r="W1" s="49" t="s">
        <v>890</v>
      </c>
      <c r="X1" s="49" t="s">
        <v>891</v>
      </c>
      <c r="Y1" s="49" t="s">
        <v>892</v>
      </c>
      <c r="Z1" s="49" t="s">
        <v>893</v>
      </c>
      <c r="AA1" s="49" t="s">
        <v>894</v>
      </c>
      <c r="AB1" s="49" t="s">
        <v>895</v>
      </c>
      <c r="AC1" s="49" t="s">
        <v>896</v>
      </c>
      <c r="AD1" s="49" t="s">
        <v>897</v>
      </c>
      <c r="AE1" s="49" t="s">
        <v>898</v>
      </c>
      <c r="AF1" s="49" t="s">
        <v>899</v>
      </c>
      <c r="AG1" s="49" t="s">
        <v>900</v>
      </c>
      <c r="AH1" s="49" t="s">
        <v>901</v>
      </c>
      <c r="AI1" s="49" t="s">
        <v>902</v>
      </c>
      <c r="AJ1" s="49" t="s">
        <v>903</v>
      </c>
      <c r="AK1" s="49" t="s">
        <v>904</v>
      </c>
      <c r="AL1" s="49" t="s">
        <v>905</v>
      </c>
      <c r="AM1" s="49" t="s">
        <v>906</v>
      </c>
      <c r="AN1" s="49" t="s">
        <v>907</v>
      </c>
      <c r="AO1" s="49" t="s">
        <v>908</v>
      </c>
    </row>
    <row r="2" customFormat="false" ht="15" hidden="false" customHeight="true" outlineLevel="0" collapsed="false">
      <c r="A2" s="175" t="s">
        <v>909</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910</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911</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912</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913</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914</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226562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915</v>
      </c>
      <c r="B1" s="252"/>
      <c r="C1" s="252"/>
      <c r="D1" s="252"/>
    </row>
    <row r="3" customFormat="false" ht="15" hidden="false" customHeight="true" outlineLevel="0" collapsed="false">
      <c r="A3" s="23" t="s">
        <v>916</v>
      </c>
      <c r="B3" s="23"/>
      <c r="C3" s="23"/>
      <c r="D3" s="23"/>
    </row>
    <row r="4" customFormat="false" ht="15" hidden="false" customHeight="true" outlineLevel="0" collapsed="false">
      <c r="A4" s="175" t="s">
        <v>917</v>
      </c>
      <c r="B4" s="250" t="n">
        <v>0.06</v>
      </c>
    </row>
    <row r="5" customFormat="false" ht="15" hidden="false" customHeight="true" outlineLevel="0" collapsed="false">
      <c r="A5" s="175" t="s">
        <v>755</v>
      </c>
      <c r="B5" s="250" t="n">
        <v>0.06</v>
      </c>
    </row>
    <row r="6" customFormat="false" ht="15" hidden="false" customHeight="true" outlineLevel="0" collapsed="false">
      <c r="A6" s="175" t="s">
        <v>918</v>
      </c>
      <c r="B6" s="250" t="n">
        <v>0.02</v>
      </c>
    </row>
    <row r="7" customFormat="false" ht="15" hidden="false" customHeight="true" outlineLevel="0" collapsed="false">
      <c r="A7" s="175" t="s">
        <v>919</v>
      </c>
      <c r="B7" s="178" t="n">
        <f aca="false">B4+B5+B6</f>
        <v>0.14</v>
      </c>
    </row>
    <row r="8" customFormat="false" ht="15" hidden="false" customHeight="true" outlineLevel="0" collapsed="false">
      <c r="A8" s="175"/>
      <c r="B8" s="250"/>
    </row>
    <row r="9" customFormat="false" ht="15" hidden="false" customHeight="true" outlineLevel="0" collapsed="false">
      <c r="A9" s="175" t="s">
        <v>920</v>
      </c>
      <c r="B9" s="178" t="n">
        <f aca="false">SUM(B10:B12)</f>
        <v>0.120391</v>
      </c>
      <c r="C9" s="1" t="s">
        <v>921</v>
      </c>
    </row>
    <row r="10" customFormat="false" ht="15" hidden="false" customHeight="true" outlineLevel="0" collapsed="false">
      <c r="A10" s="175" t="s">
        <v>922</v>
      </c>
      <c r="B10" s="178" t="n">
        <v>0.051596</v>
      </c>
    </row>
    <row r="11" customFormat="false" ht="15" hidden="false" customHeight="true" outlineLevel="0" collapsed="false">
      <c r="A11" s="175" t="s">
        <v>923</v>
      </c>
      <c r="B11" s="178" t="n">
        <v>0.051596</v>
      </c>
    </row>
    <row r="12" customFormat="false" ht="15" hidden="false" customHeight="true" outlineLevel="0" collapsed="false">
      <c r="A12" s="175" t="s">
        <v>924</v>
      </c>
      <c r="B12" s="178" t="n">
        <v>0.017199</v>
      </c>
    </row>
    <row r="14" customFormat="false" ht="15" hidden="false" customHeight="true" outlineLevel="0" collapsed="false">
      <c r="A14" s="23" t="s">
        <v>925</v>
      </c>
      <c r="B14" s="23"/>
      <c r="C14" s="23"/>
      <c r="D14" s="23"/>
    </row>
    <row r="15" customFormat="false" ht="15" hidden="false" customHeight="true" outlineLevel="0" collapsed="false">
      <c r="A15" s="175" t="s">
        <v>760</v>
      </c>
      <c r="B15" s="250" t="n">
        <v>0.015</v>
      </c>
    </row>
    <row r="16" customFormat="false" ht="15" hidden="false" customHeight="true" outlineLevel="0" collapsed="false">
      <c r="A16" s="175" t="s">
        <v>762</v>
      </c>
      <c r="B16" s="250" t="n">
        <v>0.0074</v>
      </c>
    </row>
    <row r="17" customFormat="false" ht="15" hidden="false" customHeight="true" outlineLevel="0" collapsed="false">
      <c r="A17" s="175" t="s">
        <v>764</v>
      </c>
      <c r="B17" s="250" t="n">
        <v>0.0325</v>
      </c>
    </row>
    <row r="18" customFormat="false" ht="15" hidden="false" customHeight="true" outlineLevel="0" collapsed="false">
      <c r="A18" s="1" t="s">
        <v>926</v>
      </c>
      <c r="B18" s="253" t="n">
        <f aca="false">103966/14337010.8</f>
        <v>0.00725158134079107</v>
      </c>
      <c r="C18" s="1" t="s">
        <v>927</v>
      </c>
      <c r="D18" s="254"/>
    </row>
    <row r="19" customFormat="false" ht="15" hidden="false" customHeight="true" outlineLevel="0" collapsed="false">
      <c r="A19" s="23" t="s">
        <v>928</v>
      </c>
      <c r="B19" s="23"/>
      <c r="C19" s="23"/>
      <c r="D19" s="23"/>
    </row>
    <row r="20" customFormat="false" ht="15" hidden="false" customHeight="true" outlineLevel="0" collapsed="false">
      <c r="A20" s="175" t="s">
        <v>929</v>
      </c>
      <c r="B20" s="250" t="n">
        <v>0.07</v>
      </c>
    </row>
    <row r="21" customFormat="false" ht="15" hidden="false" customHeight="true" outlineLevel="0" collapsed="false">
      <c r="A21" s="175" t="s">
        <v>930</v>
      </c>
      <c r="B21" s="250" t="n">
        <v>0.005</v>
      </c>
    </row>
    <row r="22" customFormat="false" ht="15" hidden="false" customHeight="true" outlineLevel="0" collapsed="false">
      <c r="A22" s="175" t="s">
        <v>931</v>
      </c>
      <c r="B22" s="250" t="n">
        <v>0.05</v>
      </c>
    </row>
    <row r="23" customFormat="false" ht="15" hidden="false" customHeight="true" outlineLevel="0" collapsed="false">
      <c r="A23" s="175" t="s">
        <v>932</v>
      </c>
      <c r="B23" s="250" t="n">
        <v>0.02</v>
      </c>
    </row>
    <row r="24" customFormat="false" ht="13.5" hidden="false" customHeight="true" outlineLevel="0" collapsed="false">
      <c r="A24" s="175" t="s">
        <v>933</v>
      </c>
      <c r="B24" s="250" t="n">
        <v>0.035</v>
      </c>
    </row>
    <row r="25" customFormat="false" ht="15" hidden="false" customHeight="true" outlineLevel="0" collapsed="false">
      <c r="A25" s="23" t="s">
        <v>934</v>
      </c>
      <c r="B25" s="23"/>
      <c r="C25" s="23"/>
      <c r="D25" s="23"/>
    </row>
    <row r="26" customFormat="false" ht="15" hidden="false" customHeight="true" outlineLevel="0" collapsed="false">
      <c r="A26" s="175" t="s">
        <v>935</v>
      </c>
      <c r="B26" s="227" t="n">
        <v>0.02</v>
      </c>
    </row>
    <row r="27" customFormat="false" ht="13.5" hidden="false" customHeight="true" outlineLevel="0" collapsed="false">
      <c r="A27" s="175" t="s">
        <v>936</v>
      </c>
      <c r="B27" s="250" t="n">
        <v>0.003</v>
      </c>
    </row>
    <row r="28" customFormat="false" ht="15" hidden="false" customHeight="true" outlineLevel="0" collapsed="false">
      <c r="A28" s="23" t="s">
        <v>937</v>
      </c>
      <c r="B28" s="23"/>
      <c r="C28" s="23"/>
      <c r="D28" s="23"/>
    </row>
    <row r="29" customFormat="false" ht="15" hidden="false" customHeight="true" outlineLevel="0" collapsed="false">
      <c r="A29" s="175" t="s">
        <v>938</v>
      </c>
      <c r="B29" s="229" t="n">
        <v>1415971</v>
      </c>
    </row>
    <row r="30" customFormat="false" ht="15" hidden="false" customHeight="true" outlineLevel="0" collapsed="false">
      <c r="A30" s="175" t="s">
        <v>939</v>
      </c>
      <c r="B30" s="229" t="n">
        <v>298719</v>
      </c>
    </row>
    <row r="32" customFormat="false" ht="15" hidden="false" customHeight="true" outlineLevel="0" collapsed="false">
      <c r="A32" s="23" t="s">
        <v>940</v>
      </c>
      <c r="B32" s="23"/>
      <c r="C32" s="23"/>
      <c r="D32" s="23"/>
    </row>
    <row r="33" customFormat="false" ht="15" hidden="false" customHeight="true" outlineLevel="0" collapsed="false">
      <c r="A33" s="175" t="s">
        <v>941</v>
      </c>
      <c r="B33" s="229" t="n">
        <v>1615485</v>
      </c>
    </row>
    <row r="34" customFormat="false" ht="15" hidden="false" customHeight="true" outlineLevel="0" collapsed="false">
      <c r="A34" s="175" t="s">
        <v>942</v>
      </c>
      <c r="B34" s="250" t="n">
        <v>0.15</v>
      </c>
    </row>
    <row r="35" customFormat="false" ht="15" hidden="false" customHeight="true" outlineLevel="0" collapsed="false">
      <c r="A35" s="175" t="s">
        <v>943</v>
      </c>
      <c r="B35" s="178" t="n">
        <f aca="false">B34/4</f>
        <v>0.0375</v>
      </c>
    </row>
    <row r="36" customFormat="false" ht="15" hidden="false" customHeight="true" outlineLevel="0" collapsed="false">
      <c r="A36" s="175" t="s">
        <v>944</v>
      </c>
      <c r="B36" s="229" t="n">
        <v>112000</v>
      </c>
    </row>
    <row r="37" customFormat="false" ht="15" hidden="false" customHeight="true" outlineLevel="0" collapsed="false">
      <c r="A37" s="175" t="s">
        <v>945</v>
      </c>
      <c r="B37" s="255" t="n">
        <v>17</v>
      </c>
    </row>
    <row r="38" customFormat="false" ht="15" hidden="false" customHeight="true" outlineLevel="0" collapsed="false">
      <c r="A38" s="256" t="s">
        <v>946</v>
      </c>
    </row>
    <row r="40" customFormat="false" ht="15" hidden="false" customHeight="true" outlineLevel="0" collapsed="false">
      <c r="A40" s="23" t="s">
        <v>947</v>
      </c>
      <c r="B40" s="23"/>
      <c r="C40" s="23"/>
      <c r="D40" s="23"/>
    </row>
    <row r="41" customFormat="false" ht="15" hidden="false" customHeight="true" outlineLevel="0" collapsed="false">
      <c r="A41" s="175" t="s">
        <v>948</v>
      </c>
      <c r="B41" s="229" t="n">
        <v>1000000</v>
      </c>
    </row>
    <row r="42" customFormat="false" ht="15" hidden="false" customHeight="true" outlineLevel="0" collapsed="false">
      <c r="A42" s="175" t="s">
        <v>949</v>
      </c>
      <c r="B42" s="257" t="n">
        <f aca="false">B41*0.25</f>
        <v>250000</v>
      </c>
    </row>
    <row r="43" customFormat="false" ht="15" hidden="false" customHeight="true" outlineLevel="0" collapsed="false">
      <c r="A43" s="175" t="s">
        <v>950</v>
      </c>
      <c r="B43" s="229" t="n">
        <v>1000000</v>
      </c>
    </row>
    <row r="44" customFormat="false" ht="15" hidden="false" customHeight="true" outlineLevel="0" collapsed="false">
      <c r="A44" s="256" t="s">
        <v>951</v>
      </c>
    </row>
    <row r="46" customFormat="false" ht="15" hidden="false" customHeight="true" outlineLevel="0" collapsed="false">
      <c r="A46" s="23" t="s">
        <v>952</v>
      </c>
      <c r="B46" s="23"/>
      <c r="C46" s="23"/>
      <c r="D46" s="23"/>
    </row>
    <row r="47" customFormat="false" ht="15" hidden="false" customHeight="true" outlineLevel="0" collapsed="false">
      <c r="A47" s="175" t="s">
        <v>953</v>
      </c>
      <c r="B47" s="250" t="n">
        <v>0.01</v>
      </c>
    </row>
    <row r="48" customFormat="false" ht="15" hidden="false" customHeight="true" outlineLevel="0" collapsed="false">
      <c r="A48" s="175" t="s">
        <v>954</v>
      </c>
      <c r="B48" s="250" t="n">
        <v>0.03</v>
      </c>
    </row>
    <row r="50" customFormat="false" ht="15" hidden="false" customHeight="true" outlineLevel="0" collapsed="false">
      <c r="A50" s="23" t="s">
        <v>955</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956</v>
      </c>
      <c r="B57" s="23"/>
      <c r="C57" s="23"/>
      <c r="D57" s="23"/>
    </row>
    <row r="58" customFormat="false" ht="15" hidden="false" customHeight="true" outlineLevel="0" collapsed="false">
      <c r="A58" s="175" t="s">
        <v>957</v>
      </c>
      <c r="B58" s="250" t="n">
        <v>0.15</v>
      </c>
    </row>
    <row r="59" customFormat="false" ht="15" hidden="false" customHeight="true" outlineLevel="0" collapsed="false">
      <c r="A59" s="175" t="s">
        <v>958</v>
      </c>
      <c r="B59" s="178" t="n">
        <f aca="false">B58/4</f>
        <v>0.0375</v>
      </c>
    </row>
    <row r="60" customFormat="false" ht="15" hidden="false" customHeight="true" outlineLevel="0" collapsed="false">
      <c r="A60" s="175" t="s">
        <v>959</v>
      </c>
      <c r="B60" s="229" t="n">
        <v>0</v>
      </c>
    </row>
    <row r="61" customFormat="false" ht="15" hidden="false" customHeight="true" outlineLevel="0" collapsed="false">
      <c r="A61" s="175" t="s">
        <v>960</v>
      </c>
      <c r="B61" s="229" t="n">
        <v>0</v>
      </c>
    </row>
    <row r="62" customFormat="false" ht="15" hidden="false" customHeight="true" outlineLevel="0" collapsed="false">
      <c r="A62" s="175" t="s">
        <v>961</v>
      </c>
      <c r="B62" s="229" t="n">
        <v>1784000</v>
      </c>
    </row>
    <row r="63" customFormat="false" ht="15" hidden="false" customHeight="true" outlineLevel="0" collapsed="false">
      <c r="A63" s="175" t="s">
        <v>962</v>
      </c>
      <c r="B63" s="229" t="n">
        <v>1766181</v>
      </c>
    </row>
    <row r="64" customFormat="false" ht="15" hidden="false" customHeight="true" outlineLevel="0" collapsed="false">
      <c r="A64" s="256" t="s">
        <v>963</v>
      </c>
    </row>
    <row r="65" customFormat="false" ht="13.5" hidden="false" customHeight="true" outlineLevel="0" collapsed="false">
      <c r="A65" s="175" t="s">
        <v>964</v>
      </c>
      <c r="B65" s="232" t="n">
        <v>60000</v>
      </c>
    </row>
    <row r="66" customFormat="false" ht="15" hidden="false" customHeight="true" outlineLevel="0" collapsed="false">
      <c r="A66" s="97" t="s">
        <v>101</v>
      </c>
    </row>
    <row r="67" customFormat="false" ht="15" hidden="false" customHeight="true" outlineLevel="0" collapsed="false">
      <c r="A67" s="90" t="s">
        <v>965</v>
      </c>
      <c r="B67" s="259" t="n">
        <v>833.33</v>
      </c>
    </row>
    <row r="68" customFormat="false" ht="15" hidden="false" customHeight="true" outlineLevel="0" collapsed="false">
      <c r="A68" s="90" t="s">
        <v>966</v>
      </c>
      <c r="B68" s="90" t="n">
        <v>5</v>
      </c>
    </row>
    <row r="70" customFormat="false" ht="15" hidden="false" customHeight="true" outlineLevel="0" collapsed="false">
      <c r="A70" s="260" t="s">
        <v>967</v>
      </c>
      <c r="B70" s="260"/>
    </row>
    <row r="71" customFormat="false" ht="15" hidden="false" customHeight="true" outlineLevel="0" collapsed="false">
      <c r="A71" s="261" t="s">
        <v>968</v>
      </c>
      <c r="B71" s="262" t="n">
        <v>1134000</v>
      </c>
    </row>
    <row r="72" customFormat="false" ht="15" hidden="false" customHeight="true" outlineLevel="0" collapsed="false">
      <c r="A72" s="263" t="s">
        <v>969</v>
      </c>
      <c r="B72" s="264" t="n">
        <v>50000</v>
      </c>
    </row>
    <row r="73" customFormat="false" ht="15" hidden="false" customHeight="true" outlineLevel="0" collapsed="false">
      <c r="A73" s="261" t="s">
        <v>970</v>
      </c>
      <c r="B73" s="265" t="n">
        <v>14</v>
      </c>
    </row>
    <row r="74" customFormat="false" ht="15" hidden="false" customHeight="true" outlineLevel="0" collapsed="false">
      <c r="A74" s="263" t="s">
        <v>177</v>
      </c>
      <c r="B74" s="264" t="n">
        <v>-1450000</v>
      </c>
    </row>
    <row r="75" customFormat="false" ht="15" hidden="false" customHeight="true" outlineLevel="0" collapsed="false">
      <c r="A75" s="261" t="s">
        <v>971</v>
      </c>
      <c r="B75" s="262" t="n">
        <v>264927.15</v>
      </c>
    </row>
    <row r="76" customFormat="false" ht="15" hidden="false" customHeight="true" outlineLevel="0" collapsed="false">
      <c r="A76" s="263" t="s">
        <v>972</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973</v>
      </c>
    </row>
    <row r="80" customFormat="false" ht="15" hidden="false" customHeight="true" outlineLevel="0" collapsed="false">
      <c r="A80" s="267" t="s">
        <v>974</v>
      </c>
      <c r="B80" s="268" t="n">
        <v>1</v>
      </c>
    </row>
    <row r="82" customFormat="false" ht="27.75" hidden="false" customHeight="true" outlineLevel="0" collapsed="false">
      <c r="A82" s="154" t="s">
        <v>975</v>
      </c>
      <c r="B82" s="154" t="s">
        <v>976</v>
      </c>
      <c r="C82" s="154" t="s">
        <v>977</v>
      </c>
    </row>
    <row r="83" customFormat="false" ht="15" hidden="false" customHeight="true" outlineLevel="0" collapsed="false">
      <c r="A83" s="269" t="s">
        <v>978</v>
      </c>
      <c r="B83" s="270" t="n">
        <v>0</v>
      </c>
      <c r="C83" s="271" t="n">
        <v>0.25</v>
      </c>
    </row>
    <row r="84" customFormat="false" ht="15" hidden="false" customHeight="true" outlineLevel="0" collapsed="false">
      <c r="A84" s="269" t="s">
        <v>979</v>
      </c>
      <c r="B84" s="270" t="n">
        <v>20000000</v>
      </c>
      <c r="C84" s="271" t="n">
        <v>0.5</v>
      </c>
    </row>
    <row r="85" customFormat="false" ht="15" hidden="false" customHeight="true" outlineLevel="0" collapsed="false">
      <c r="A85" s="269" t="s">
        <v>980</v>
      </c>
      <c r="B85" s="270" t="n">
        <v>40000000</v>
      </c>
      <c r="C85" s="271" t="n">
        <v>0.75</v>
      </c>
    </row>
    <row r="86" customFormat="false" ht="15" hidden="false" customHeight="true" outlineLevel="0" collapsed="false">
      <c r="A86" s="269" t="s">
        <v>981</v>
      </c>
      <c r="B86" s="270" t="n">
        <v>60000000</v>
      </c>
      <c r="C86" s="271" t="n">
        <v>1</v>
      </c>
    </row>
    <row r="88" customFormat="false" ht="15" hidden="false" customHeight="true" outlineLevel="0" collapsed="false">
      <c r="A88" s="72" t="s">
        <v>982</v>
      </c>
    </row>
    <row r="92" customFormat="false" ht="15" hidden="false" customHeight="true" outlineLevel="0" collapsed="false">
      <c r="A92" s="1" t="s">
        <v>983</v>
      </c>
    </row>
    <row r="93" customFormat="false" ht="15" hidden="false" customHeight="true" outlineLevel="0" collapsed="false">
      <c r="A93" s="1" t="s">
        <v>984</v>
      </c>
    </row>
    <row r="94" customFormat="false" ht="15" hidden="false" customHeight="true" outlineLevel="0" collapsed="false">
      <c r="A94" s="1" t="s">
        <v>985</v>
      </c>
    </row>
    <row r="95" customFormat="false" ht="15" hidden="false" customHeight="true" outlineLevel="0" collapsed="false">
      <c r="A95" s="1" t="s">
        <v>986</v>
      </c>
    </row>
    <row r="96" customFormat="false" ht="15" hidden="false" customHeight="true" outlineLevel="0" collapsed="false">
      <c r="A96" s="1" t="s">
        <v>987</v>
      </c>
    </row>
    <row r="97" customFormat="false" ht="15" hidden="false" customHeight="true" outlineLevel="0" collapsed="false">
      <c r="A97" s="1" t="s">
        <v>988</v>
      </c>
    </row>
    <row r="98" customFormat="false" ht="15" hidden="false" customHeight="true" outlineLevel="0" collapsed="false">
      <c r="A98" s="1" t="s">
        <v>989</v>
      </c>
    </row>
    <row r="99" customFormat="false" ht="15" hidden="false" customHeight="true" outlineLevel="0" collapsed="false">
      <c r="A99" s="1" t="s">
        <v>990</v>
      </c>
    </row>
    <row r="100" customFormat="false" ht="15" hidden="false" customHeight="true" outlineLevel="0" collapsed="false">
      <c r="A100" s="1" t="s">
        <v>991</v>
      </c>
    </row>
    <row r="101" customFormat="false" ht="15" hidden="false" customHeight="true" outlineLevel="0" collapsed="false">
      <c r="A101" s="1" t="s">
        <v>992</v>
      </c>
    </row>
    <row r="102" customFormat="false" ht="15" hidden="false" customHeight="true" outlineLevel="0" collapsed="false">
      <c r="A102" s="1" t="s">
        <v>993</v>
      </c>
    </row>
    <row r="103" customFormat="false" ht="15" hidden="false" customHeight="true" outlineLevel="0" collapsed="false">
      <c r="A103" s="1" t="s">
        <v>994</v>
      </c>
    </row>
    <row r="104" customFormat="false" ht="15" hidden="false" customHeight="true" outlineLevel="0" collapsed="false">
      <c r="A104" s="1" t="s">
        <v>995</v>
      </c>
    </row>
    <row r="105" customFormat="false" ht="15" hidden="false" customHeight="true" outlineLevel="0" collapsed="false">
      <c r="A105" s="1" t="s">
        <v>996</v>
      </c>
    </row>
    <row r="106" customFormat="false" ht="15" hidden="false" customHeight="true" outlineLevel="0" collapsed="false">
      <c r="A106" s="1" t="s">
        <v>997</v>
      </c>
    </row>
    <row r="108" customFormat="false" ht="15" hidden="false" customHeight="true" outlineLevel="0" collapsed="false">
      <c r="A108" s="1" t="s">
        <v>998</v>
      </c>
    </row>
    <row r="109" customFormat="false" ht="15" hidden="false" customHeight="true" outlineLevel="0" collapsed="false">
      <c r="A109" s="1" t="s">
        <v>999</v>
      </c>
    </row>
    <row r="110" customFormat="false" ht="15" hidden="false" customHeight="true" outlineLevel="0" collapsed="false">
      <c r="A110" s="1" t="s">
        <v>1000</v>
      </c>
    </row>
    <row r="112" customFormat="false" ht="15" hidden="false" customHeight="true" outlineLevel="0" collapsed="false">
      <c r="A112" s="1" t="s">
        <v>1001</v>
      </c>
    </row>
    <row r="113" customFormat="false" ht="15" hidden="false" customHeight="true" outlineLevel="0" collapsed="false">
      <c r="A113" s="1" t="s">
        <v>1002</v>
      </c>
    </row>
    <row r="114" customFormat="false" ht="15" hidden="false" customHeight="true" outlineLevel="0" collapsed="false">
      <c r="A114" s="1" t="s">
        <v>1003</v>
      </c>
    </row>
    <row r="115" customFormat="false" ht="15" hidden="false" customHeight="true" outlineLevel="0" collapsed="false">
      <c r="A115" s="1" t="s">
        <v>1004</v>
      </c>
    </row>
    <row r="117" customFormat="false" ht="15" hidden="false" customHeight="true" outlineLevel="0" collapsed="false">
      <c r="A117" s="1" t="s">
        <v>1005</v>
      </c>
    </row>
    <row r="118" customFormat="false" ht="15" hidden="false" customHeight="true" outlineLevel="0" collapsed="false">
      <c r="A118" s="1" t="s">
        <v>1006</v>
      </c>
    </row>
    <row r="119" customFormat="false" ht="15" hidden="false" customHeight="true" outlineLevel="0" collapsed="false">
      <c r="A119" s="1" t="s">
        <v>1007</v>
      </c>
    </row>
    <row r="120" customFormat="false" ht="15" hidden="false" customHeight="true" outlineLevel="0" collapsed="false">
      <c r="A120" s="1" t="s">
        <v>1008</v>
      </c>
    </row>
    <row r="121" customFormat="false" ht="15" hidden="false" customHeight="true" outlineLevel="0" collapsed="false">
      <c r="A121" s="1" t="s">
        <v>1009</v>
      </c>
    </row>
    <row r="123" customFormat="false" ht="15" hidden="false" customHeight="true" outlineLevel="0" collapsed="false">
      <c r="A123" s="1" t="s">
        <v>1010</v>
      </c>
    </row>
    <row r="124" customFormat="false" ht="15" hidden="false" customHeight="true" outlineLevel="0" collapsed="false"/>
    <row r="130" customFormat="false" ht="15" hidden="false" customHeight="true" outlineLevel="0" collapsed="false">
      <c r="A130" s="1" t="s">
        <v>1011</v>
      </c>
    </row>
    <row r="131" customFormat="false" ht="15" hidden="false" customHeight="true" outlineLevel="0" collapsed="false">
      <c r="A131" s="1" t="s">
        <v>1012</v>
      </c>
    </row>
    <row r="132" customFormat="false" ht="15" hidden="false" customHeight="true" outlineLevel="0" collapsed="false">
      <c r="A132" s="1" t="s">
        <v>1013</v>
      </c>
    </row>
    <row r="133" customFormat="false" ht="15" hidden="false" customHeight="true" outlineLevel="0" collapsed="false">
      <c r="A133" s="1" t="s">
        <v>1014</v>
      </c>
    </row>
    <row r="134" customFormat="false" ht="15" hidden="false" customHeight="true" outlineLevel="0" collapsed="false">
      <c r="A134" s="1" t="s">
        <v>1015</v>
      </c>
    </row>
    <row r="135" customFormat="false" ht="15" hidden="false" customHeight="true" outlineLevel="0" collapsed="false">
      <c r="A135" s="1" t="s">
        <v>1016</v>
      </c>
    </row>
    <row r="136" customFormat="false" ht="15" hidden="false" customHeight="true" outlineLevel="0" collapsed="false">
      <c r="A136" s="1" t="s">
        <v>1017</v>
      </c>
    </row>
    <row r="137" customFormat="false" ht="15" hidden="false" customHeight="true" outlineLevel="0" collapsed="false">
      <c r="A137" s="1" t="s">
        <v>1018</v>
      </c>
    </row>
    <row r="138" customFormat="false" ht="15" hidden="false" customHeight="true" outlineLevel="0" collapsed="false">
      <c r="A138" s="1" t="s">
        <v>1019</v>
      </c>
    </row>
    <row r="139" customFormat="false" ht="15" hidden="false" customHeight="true" outlineLevel="0" collapsed="false">
      <c r="A139" s="1" t="s">
        <v>1020</v>
      </c>
    </row>
    <row r="141" customFormat="false" ht="15" hidden="false" customHeight="true" outlineLevel="0" collapsed="false">
      <c r="A141" s="1" t="s">
        <v>1021</v>
      </c>
    </row>
    <row r="142" customFormat="false" ht="15" hidden="false" customHeight="true" outlineLevel="0" collapsed="false">
      <c r="A142" s="1" t="s">
        <v>1022</v>
      </c>
    </row>
    <row r="143" customFormat="false" ht="15" hidden="false" customHeight="true" outlineLevel="0" collapsed="false">
      <c r="A143" s="1" t="s">
        <v>1023</v>
      </c>
    </row>
    <row r="144" customFormat="false" ht="15" hidden="false" customHeight="true" outlineLevel="0" collapsed="false">
      <c r="A144" s="1" t="s">
        <v>1024</v>
      </c>
    </row>
    <row r="145" customFormat="false" ht="15" hidden="false" customHeight="true" outlineLevel="0" collapsed="false">
      <c r="A145" s="1" t="s">
        <v>1025</v>
      </c>
    </row>
    <row r="146" customFormat="false" ht="15" hidden="false" customHeight="true" outlineLevel="0" collapsed="false">
      <c r="A146" s="1" t="s">
        <v>1026</v>
      </c>
    </row>
    <row r="147" customFormat="false" ht="15" hidden="false" customHeight="true" outlineLevel="0" collapsed="false">
      <c r="A147" s="1" t="s">
        <v>1027</v>
      </c>
    </row>
    <row r="148" customFormat="false" ht="15" hidden="false" customHeight="true" outlineLevel="0" collapsed="false">
      <c r="A148" s="1" t="s">
        <v>1028</v>
      </c>
    </row>
    <row r="149" customFormat="false" ht="15" hidden="false" customHeight="true" outlineLevel="0" collapsed="false">
      <c r="A149" s="1" t="s">
        <v>1029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26562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1030</v>
      </c>
      <c r="B1" s="4" t="s">
        <v>1031</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1032</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1033</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488170.5924</v>
      </c>
      <c r="AB4" s="257" t="n">
        <f aca="false">(SUMPRODUCT((Personnel!$O$9:$O$100&lt;&gt;"")*(Personnel!$G$9:$G$100="Yes")*(26&gt;=Personnel!$E$9:$E$100)*((Personnel!$K$9:$K$100="")+(26&lt;=Personnel!$K$9:$K$100)&gt;0)*Personnel!$D$9:$D$100*(1-Personnel!$H$9:$H$100))+Staffing!AD81)*Escalation!$B$27</f>
        <v>488170.5924</v>
      </c>
      <c r="AC4" s="257" t="n">
        <f aca="false">(SUMPRODUCT((Personnel!$O$9:$O$100&lt;&gt;"")*(Personnel!$G$9:$G$100="Yes")*(27&gt;=Personnel!$E$9:$E$100)*((Personnel!$K$9:$K$100="")+(27&lt;=Personnel!$K$9:$K$100)&gt;0)*Personnel!$D$9:$D$100*(1-Personnel!$H$9:$H$100))+Staffing!AE81)*Escalation!$B$28</f>
        <v>488170.5924</v>
      </c>
      <c r="AD4" s="257" t="n">
        <f aca="false">(SUMPRODUCT((Personnel!$O$9:$O$100&lt;&gt;"")*(Personnel!$G$9:$G$100="Yes")*(28&gt;=Personnel!$E$9:$E$100)*((Personnel!$K$9:$K$100="")+(28&lt;=Personnel!$K$9:$K$100)&gt;0)*Personnel!$D$9:$D$100*(1-Personnel!$H$9:$H$100))+Staffing!AF81)*Escalation!$B$29</f>
        <v>488170.5924</v>
      </c>
      <c r="AE4" s="257" t="n">
        <f aca="false">(SUMPRODUCT((Personnel!$O$9:$O$100&lt;&gt;"")*(Personnel!$G$9:$G$100="Yes")*(29&gt;=Personnel!$E$9:$E$100)*((Personnel!$K$9:$K$100="")+(29&lt;=Personnel!$K$9:$K$100)&gt;0)*Personnel!$D$9:$D$100*(1-Personnel!$H$9:$H$100))+Staffing!AG81)*Escalation!$B$30</f>
        <v>499008.0924</v>
      </c>
      <c r="AF4" s="257" t="n">
        <f aca="false">(SUMPRODUCT((Personnel!$O$9:$O$100&lt;&gt;"")*(Personnel!$G$9:$G$100="Yes")*(30&gt;=Personnel!$E$9:$E$100)*((Personnel!$K$9:$K$100="")+(30&lt;=Personnel!$K$9:$K$100)&gt;0)*Personnel!$D$9:$D$100*(1-Personnel!$H$9:$H$100))+Staffing!AH81)*Escalation!$B$31</f>
        <v>499008.0924</v>
      </c>
      <c r="AG4" s="257" t="n">
        <f aca="false">(SUMPRODUCT((Personnel!$O$9:$O$100&lt;&gt;"")*(Personnel!$G$9:$G$100="Yes")*(31&gt;=Personnel!$E$9:$E$100)*((Personnel!$K$9:$K$100="")+(31&lt;=Personnel!$K$9:$K$100)&gt;0)*Personnel!$D$9:$D$100*(1-Personnel!$H$9:$H$100))+Staffing!AI81)*Escalation!$B$32</f>
        <v>499008.0924</v>
      </c>
      <c r="AH4" s="257" t="n">
        <f aca="false">(SUMPRODUCT((Personnel!$O$9:$O$100&lt;&gt;"")*(Personnel!$G$9:$G$100="Yes")*(32&gt;=Personnel!$E$9:$E$100)*((Personnel!$K$9:$K$100="")+(32&lt;=Personnel!$K$9:$K$100)&gt;0)*Personnel!$D$9:$D$100*(1-Personnel!$H$9:$H$100))+Staffing!AJ81)*Escalation!$B$33</f>
        <v>499008.0924</v>
      </c>
      <c r="AI4" s="257" t="n">
        <f aca="false">(SUMPRODUCT((Personnel!$O$9:$O$100&lt;&gt;"")*(Personnel!$G$9:$G$100="Yes")*(33&gt;=Personnel!$E$9:$E$100)*((Personnel!$K$9:$K$100="")+(33&lt;=Personnel!$K$9:$K$100)&gt;0)*Personnel!$D$9:$D$100*(1-Personnel!$H$9:$H$100))+Staffing!AK81)*Escalation!$B$34</f>
        <v>499008.0924</v>
      </c>
      <c r="AJ4" s="257" t="n">
        <f aca="false">(SUMPRODUCT((Personnel!$O$9:$O$100&lt;&gt;"")*(Personnel!$G$9:$G$100="Yes")*(34&gt;=Personnel!$E$9:$E$100)*((Personnel!$K$9:$K$100="")+(34&lt;=Personnel!$K$9:$K$100)&gt;0)*Personnel!$D$9:$D$100*(1-Personnel!$H$9:$H$100))+Staffing!AL81)*Escalation!$B$35</f>
        <v>499008.0924</v>
      </c>
      <c r="AK4" s="257" t="n">
        <f aca="false">(SUMPRODUCT((Personnel!$O$9:$O$100&lt;&gt;"")*(Personnel!$G$9:$G$100="Yes")*(35&gt;=Personnel!$E$9:$E$100)*((Personnel!$K$9:$K$100="")+(35&lt;=Personnel!$K$9:$K$100)&gt;0)*Personnel!$D$9:$D$100*(1-Personnel!$H$9:$H$100))+Staffing!AM81)*Escalation!$B$36</f>
        <v>499008.0924</v>
      </c>
      <c r="AL4" s="257" t="n">
        <f aca="false">(SUMPRODUCT((Personnel!$O$9:$O$100&lt;&gt;"")*(Personnel!$G$9:$G$100="Yes")*(36&gt;=Personnel!$E$9:$E$100)*((Personnel!$K$9:$K$100="")+(36&lt;=Personnel!$K$9:$K$100)&gt;0)*Personnel!$D$9:$D$100*(1-Personnel!$H$9:$H$100))+Staffing!AN81)*Escalation!$B$37</f>
        <v>520683.0924</v>
      </c>
      <c r="AM4" s="257" t="n">
        <f aca="false">(SUMPRODUCT((Personnel!$O$9:$O$100&lt;&gt;"")*(Personnel!$G$9:$G$100="Yes")*(37&gt;=Personnel!$E$9:$E$100)*((Personnel!$K$9:$K$100="")+(37&lt;=Personnel!$K$9:$K$100)&gt;0)*Personnel!$D$9:$D$100*(1-Personnel!$H$9:$H$100))+Staffing!AO81)*Escalation!$B$38</f>
        <v>553647.424248</v>
      </c>
      <c r="AN4" s="257" t="n">
        <f aca="false">(SUMPRODUCT((Personnel!$O$9:$O$100&lt;&gt;"")*(Personnel!$G$9:$G$100="Yes")*(38&gt;=Personnel!$E$9:$E$100)*((Personnel!$K$9:$K$100="")+(38&lt;=Personnel!$K$9:$K$100)&gt;0)*Personnel!$D$9:$D$100*(1-Personnel!$H$9:$H$100))+Staffing!AP81)*Escalation!$B$39</f>
        <v>553647.424248</v>
      </c>
      <c r="AO4" s="257" t="n">
        <f aca="false">(SUMPRODUCT((Personnel!$O$9:$O$100&lt;&gt;"")*(Personnel!$G$9:$G$100="Yes")*(39&gt;=Personnel!$E$9:$E$100)*((Personnel!$K$9:$K$100="")+(39&lt;=Personnel!$K$9:$K$100)&gt;0)*Personnel!$D$9:$D$100*(1-Personnel!$H$9:$H$100))+Staffing!AQ81)*Escalation!$B$40</f>
        <v>553647.424248</v>
      </c>
      <c r="AP4" s="257" t="n">
        <f aca="false">(SUMPRODUCT((Personnel!$O$9:$O$100&lt;&gt;"")*(Personnel!$G$9:$G$100="Yes")*(40&gt;=Personnel!$E$9:$E$100)*((Personnel!$K$9:$K$100="")+(40&lt;=Personnel!$K$9:$K$100)&gt;0)*Personnel!$D$9:$D$100*(1-Personnel!$H$9:$H$100))+Staffing!AR81)*Escalation!$B$41</f>
        <v>553647.424248</v>
      </c>
      <c r="AQ4" s="257" t="n">
        <f aca="false">(SUMPRODUCT((Personnel!$O$9:$O$100&lt;&gt;"")*(Personnel!$G$9:$G$100="Yes")*(41&gt;=Personnel!$E$9:$E$100)*((Personnel!$K$9:$K$100="")+(41&lt;=Personnel!$K$9:$K$100)&gt;0)*Personnel!$D$9:$D$100*(1-Personnel!$H$9:$H$100))+Staffing!AS81)*Escalation!$B$42</f>
        <v>553647.424248</v>
      </c>
      <c r="AR4" s="257" t="n">
        <f aca="false">(SUMPRODUCT((Personnel!$O$9:$O$100&lt;&gt;"")*(Personnel!$G$9:$G$100="Yes")*(42&gt;=Personnel!$E$9:$E$100)*((Personnel!$K$9:$K$100="")+(42&lt;=Personnel!$K$9:$K$100)&gt;0)*Personnel!$D$9:$D$100*(1-Personnel!$H$9:$H$100))+Staffing!AT81)*Escalation!$B$43</f>
        <v>553647.424248</v>
      </c>
      <c r="AS4" s="257" t="n">
        <f aca="false">(SUMPRODUCT((Personnel!$O$9:$O$100&lt;&gt;"")*(Personnel!$G$9:$G$100="Yes")*(43&gt;=Personnel!$E$9:$E$100)*((Personnel!$K$9:$K$100="")+(43&lt;=Personnel!$K$9:$K$100)&gt;0)*Personnel!$D$9:$D$100*(1-Personnel!$H$9:$H$100))+Staffing!AU81)*Escalation!$B$44</f>
        <v>553647.424248</v>
      </c>
      <c r="AT4" s="257" t="n">
        <f aca="false">(SUMPRODUCT((Personnel!$O$9:$O$100&lt;&gt;"")*(Personnel!$G$9:$G$100="Yes")*(44&gt;=Personnel!$E$9:$E$100)*((Personnel!$K$9:$K$100="")+(44&lt;=Personnel!$K$9:$K$100)&gt;0)*Personnel!$D$9:$D$100*(1-Personnel!$H$9:$H$100))+Staffing!AV81)*Escalation!$B$45</f>
        <v>553647.424248</v>
      </c>
      <c r="AU4" s="257" t="n">
        <f aca="false">(SUMPRODUCT((Personnel!$O$9:$O$100&lt;&gt;"")*(Personnel!$G$9:$G$100="Yes")*(45&gt;=Personnel!$E$9:$E$100)*((Personnel!$K$9:$K$100="")+(45&lt;=Personnel!$K$9:$K$100)&gt;0)*Personnel!$D$9:$D$100*(1-Personnel!$H$9:$H$100))+Staffing!AW81)*Escalation!$B$46</f>
        <v>553647.424248</v>
      </c>
      <c r="AV4" s="257" t="n">
        <f aca="false">(SUMPRODUCT((Personnel!$O$9:$O$100&lt;&gt;"")*(Personnel!$G$9:$G$100="Yes")*(46&gt;=Personnel!$E$9:$E$100)*((Personnel!$K$9:$K$100="")+(46&lt;=Personnel!$K$9:$K$100)&gt;0)*Personnel!$D$9:$D$100*(1-Personnel!$H$9:$H$100))+Staffing!AX81)*Escalation!$B$47</f>
        <v>542151.004248</v>
      </c>
      <c r="AW4" s="257" t="n">
        <f aca="false">(SUMPRODUCT((Personnel!$O$9:$O$100&lt;&gt;"")*(Personnel!$G$9:$G$100="Yes")*(47&gt;=Personnel!$E$9:$E$100)*((Personnel!$K$9:$K$100="")+(47&lt;=Personnel!$K$9:$K$100)&gt;0)*Personnel!$D$9:$D$100*(1-Personnel!$H$9:$H$100))+Staffing!AY81)*Escalation!$B$48</f>
        <v>542151.004248</v>
      </c>
      <c r="AX4" s="257" t="n">
        <f aca="false">(SUMPRODUCT((Personnel!$O$9:$O$100&lt;&gt;"")*(Personnel!$G$9:$G$100="Yes")*(48&gt;=Personnel!$E$9:$E$100)*((Personnel!$K$9:$K$100="")+(48&lt;=Personnel!$K$9:$K$100)&gt;0)*Personnel!$D$9:$D$100*(1-Personnel!$H$9:$H$100))+Staffing!AZ81)*Escalation!$B$49</f>
        <v>542151.004248</v>
      </c>
      <c r="AY4" s="257" t="n">
        <f aca="false">(SUMPRODUCT((Personnel!$O$9:$O$100&lt;&gt;"")*(Personnel!$G$9:$G$100="Yes")*(49&gt;=Personnel!$E$9:$E$100)*((Personnel!$K$9:$K$100="")+(49&lt;=Personnel!$K$9:$K$100)&gt;0)*Personnel!$D$9:$D$100*(1-Personnel!$H$9:$H$100))+Staffing!BA81)*Escalation!$B$50</f>
        <v>552994.02433296</v>
      </c>
      <c r="AZ4" s="257" t="n">
        <f aca="false">(SUMPRODUCT((Personnel!$O$9:$O$100&lt;&gt;"")*(Personnel!$G$9:$G$100="Yes")*(50&gt;=Personnel!$E$9:$E$100)*((Personnel!$K$9:$K$100="")+(50&lt;=Personnel!$K$9:$K$100)&gt;0)*Personnel!$D$9:$D$100*(1-Personnel!$H$9:$H$100))+Staffing!BB81)*Escalation!$B$51</f>
        <v>514206.87193296</v>
      </c>
      <c r="BA4" s="257" t="n">
        <f aca="false">(SUMPRODUCT((Personnel!$O$9:$O$100&lt;&gt;"")*(Personnel!$G$9:$G$100="Yes")*(51&gt;=Personnel!$E$9:$E$100)*((Personnel!$K$9:$K$100="")+(51&lt;=Personnel!$K$9:$K$100)&gt;0)*Personnel!$D$9:$D$100*(1-Personnel!$H$9:$H$100))+Staffing!BC81)*Escalation!$B$52</f>
        <v>502931.53693296</v>
      </c>
      <c r="BB4" s="257" t="n">
        <f aca="false">(SUMPRODUCT((Personnel!$O$9:$O$100&lt;&gt;"")*(Personnel!$G$9:$G$100="Yes")*(52&gt;=Personnel!$E$9:$E$100)*((Personnel!$K$9:$K$100="")+(52&lt;=Personnel!$K$9:$K$100)&gt;0)*Personnel!$D$9:$D$100*(1-Personnel!$H$9:$H$100))+Staffing!BD81)*Escalation!$B$53</f>
        <v>502931.53693296</v>
      </c>
      <c r="BC4" s="257" t="n">
        <f aca="false">(SUMPRODUCT((Personnel!$O$9:$O$100&lt;&gt;"")*(Personnel!$G$9:$G$100="Yes")*(53&gt;=Personnel!$E$9:$E$100)*((Personnel!$K$9:$K$100="")+(53&lt;=Personnel!$K$9:$K$100)&gt;0)*Personnel!$D$9:$D$100*(1-Personnel!$H$9:$H$100))+Staffing!BE81)*Escalation!$B$54</f>
        <v>502931.53693296</v>
      </c>
      <c r="BD4" s="257" t="n">
        <f aca="false">(SUMPRODUCT((Personnel!$O$9:$O$100&lt;&gt;"")*(Personnel!$G$9:$G$100="Yes")*(54&gt;=Personnel!$E$9:$E$100)*((Personnel!$K$9:$K$100="")+(54&lt;=Personnel!$K$9:$K$100)&gt;0)*Personnel!$D$9:$D$100*(1-Personnel!$H$9:$H$100))+Staffing!BF81)*Escalation!$B$55</f>
        <v>502931.53693296</v>
      </c>
      <c r="BE4" s="257" t="n">
        <f aca="false">(SUMPRODUCT((Personnel!$O$9:$O$100&lt;&gt;"")*(Personnel!$G$9:$G$100="Yes")*(55&gt;=Personnel!$E$9:$E$100)*((Personnel!$K$9:$K$100="")+(55&lt;=Personnel!$K$9:$K$100)&gt;0)*Personnel!$D$9:$D$100*(1-Personnel!$H$9:$H$100))+Staffing!BG81)*Escalation!$B$56</f>
        <v>502931.53693296</v>
      </c>
      <c r="BF4" s="257" t="n">
        <f aca="false">(SUMPRODUCT((Personnel!$O$9:$O$100&lt;&gt;"")*(Personnel!$G$9:$G$100="Yes")*(56&gt;=Personnel!$E$9:$E$100)*((Personnel!$K$9:$K$100="")+(56&lt;=Personnel!$K$9:$K$100)&gt;0)*Personnel!$D$9:$D$100*(1-Personnel!$H$9:$H$100))+Staffing!BH81)*Escalation!$B$57</f>
        <v>502931.53693296</v>
      </c>
      <c r="BG4" s="257" t="n">
        <f aca="false">(SUMPRODUCT((Personnel!$O$9:$O$100&lt;&gt;"")*(Personnel!$G$9:$G$100="Yes")*(57&gt;=Personnel!$E$9:$E$100)*((Personnel!$K$9:$K$100="")+(57&lt;=Personnel!$K$9:$K$100)&gt;0)*Personnel!$D$9:$D$100*(1-Personnel!$H$9:$H$100))+Staffing!BI81)*Escalation!$B$58</f>
        <v>502931.53693296</v>
      </c>
      <c r="BH4" s="257" t="n">
        <f aca="false">(SUMPRODUCT((Personnel!$O$9:$O$100&lt;&gt;"")*(Personnel!$G$9:$G$100="Yes")*(58&gt;=Personnel!$E$9:$E$100)*((Personnel!$K$9:$K$100="")+(58&lt;=Personnel!$K$9:$K$100)&gt;0)*Personnel!$D$9:$D$100*(1-Personnel!$H$9:$H$100))+Staffing!BJ81)*Escalation!$B$59</f>
        <v>502931.53693296</v>
      </c>
      <c r="BI4" s="257" t="n">
        <f aca="false">(SUMPRODUCT((Personnel!$O$9:$O$100&lt;&gt;"")*(Personnel!$G$9:$G$100="Yes")*(59&gt;=Personnel!$E$9:$E$100)*((Personnel!$K$9:$K$100="")+(59&lt;=Personnel!$K$9:$K$100)&gt;0)*Personnel!$D$9:$D$100*(1-Personnel!$H$9:$H$100))+Staffing!BK81)*Escalation!$B$60</f>
        <v>491205.18853296</v>
      </c>
      <c r="BJ4" s="257" t="n">
        <f aca="false">(SUMPRODUCT((Personnel!$O$9:$O$100&lt;&gt;"")*(Personnel!$G$9:$G$100="Yes")*(60&gt;=Personnel!$E$9:$E$100)*((Personnel!$K$9:$K$100="")+(60&lt;=Personnel!$K$9:$K$100)&gt;0)*Personnel!$D$9:$D$100*(1-Personnel!$H$9:$H$100))+Staffing!BL81)*Escalation!$B$61</f>
        <v>491205.18853296</v>
      </c>
      <c r="BK4" s="257" t="n">
        <f aca="false">(SUMPRODUCT((Personnel!$O$9:$O$100&lt;&gt;"")*(Personnel!$G$9:$G$100="Yes")*(61&gt;=Personnel!$E$9:$E$100)*((Personnel!$K$9:$K$100="")+(61&lt;=Personnel!$K$9:$K$100)&gt;0)*Personnel!$D$9:$D$100*(1-Personnel!$H$9:$H$100))+Staffing!BM81)*Escalation!$B$62</f>
        <v>489528.450603619</v>
      </c>
      <c r="BL4" s="257" t="n">
        <f aca="false">(SUMPRODUCT((Personnel!$O$9:$O$100&lt;&gt;"")*(Personnel!$G$9:$G$100="Yes")*(62&gt;=Personnel!$E$9:$E$100)*((Personnel!$K$9:$K$100="")+(62&lt;=Personnel!$K$9:$K$100)&gt;0)*Personnel!$D$9:$D$100*(1-Personnel!$H$9:$H$100))+Staffing!BN81)*Escalation!$B$63</f>
        <v>470667.070215619</v>
      </c>
      <c r="BM4" s="257" t="n">
        <f aca="false">(SUMPRODUCT((Personnel!$O$9:$O$100&lt;&gt;"")*(Personnel!$G$9:$G$100="Yes")*(63&gt;=Personnel!$E$9:$E$100)*((Personnel!$K$9:$K$100="")+(63&lt;=Personnel!$K$9:$K$100)&gt;0)*Personnel!$D$9:$D$100*(1-Personnel!$H$9:$H$100))+Staffing!BO81)*Escalation!$B$64</f>
        <v>422363.535075619</v>
      </c>
      <c r="BN4" s="257" t="n">
        <f aca="false">(SUMPRODUCT((Personnel!$O$9:$O$100&lt;&gt;"")*(Personnel!$G$9:$G$100="Yes")*(64&gt;=Personnel!$E$9:$E$100)*((Personnel!$K$9:$K$100="")+(64&lt;=Personnel!$K$9:$K$100)&gt;0)*Personnel!$D$9:$D$100*(1-Personnel!$H$9:$H$100))+Staffing!BP81)*Escalation!$B$65</f>
        <v>396141.615999619</v>
      </c>
      <c r="BO4" s="257" t="n">
        <f aca="false">(SUMPRODUCT((Personnel!$O$9:$O$100&lt;&gt;"")*(Personnel!$G$9:$G$100="Yes")*(65&gt;=Personnel!$E$9:$E$100)*((Personnel!$K$9:$K$100="")+(65&lt;=Personnel!$K$9:$K$100)&gt;0)*Personnel!$D$9:$D$100*(1-Personnel!$H$9:$H$100))+Staffing!BQ81)*Escalation!$B$66</f>
        <v>384180.740631619</v>
      </c>
      <c r="BP4" s="257" t="n">
        <f aca="false">(SUMPRODUCT((Personnel!$O$9:$O$100&lt;&gt;"")*(Personnel!$G$9:$G$100="Yes")*(66&gt;=Personnel!$E$9:$E$100)*((Personnel!$K$9:$K$100="")+(66&lt;=Personnel!$K$9:$K$100)&gt;0)*Personnel!$D$9:$D$100*(1-Personnel!$H$9:$H$100))+Staffing!BR81)*Escalation!$B$67</f>
        <v>384180.740631619</v>
      </c>
      <c r="BQ4" s="257" t="n">
        <f aca="false">(SUMPRODUCT((Personnel!$O$9:$O$100&lt;&gt;"")*(Personnel!$G$9:$G$100="Yes")*(67&gt;=Personnel!$E$9:$E$100)*((Personnel!$K$9:$K$100="")+(67&lt;=Personnel!$K$9:$K$100)&gt;0)*Personnel!$D$9:$D$100*(1-Personnel!$H$9:$H$100))+Staffing!BS81)*Escalation!$B$68</f>
        <v>384180.740631619</v>
      </c>
      <c r="BR4" s="257" t="n">
        <f aca="false">(SUMPRODUCT((Personnel!$O$9:$O$100&lt;&gt;"")*(Personnel!$G$9:$G$100="Yes")*(68&gt;=Personnel!$E$9:$E$100)*((Personnel!$K$9:$K$100="")+(68&lt;=Personnel!$K$9:$K$100)&gt;0)*Personnel!$D$9:$D$100*(1-Personnel!$H$9:$H$100))+Staffing!BT81)*Escalation!$B$69</f>
        <v>369459.663255619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1034</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1035</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1036</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1037</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1038</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1039</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1040</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1041</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1042</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1043</v>
      </c>
      <c r="B25" s="1" t="s">
        <v>1044</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1045</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1046</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1047</v>
      </c>
      <c r="B30" s="260"/>
      <c r="C30" s="260"/>
      <c r="D30" s="260"/>
      <c r="E30" s="260"/>
      <c r="F30" s="260"/>
      <c r="G30" s="260"/>
      <c r="H30" s="260"/>
      <c r="I30" s="260"/>
    </row>
    <row r="31" customFormat="false" ht="15" hidden="false" customHeight="true" outlineLevel="0" collapsed="false">
      <c r="A31" s="277" t="s">
        <v>1048</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1049</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1050</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1051</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1052</v>
      </c>
      <c r="B51" s="260"/>
      <c r="C51" s="260"/>
      <c r="D51" s="260"/>
      <c r="E51" s="260"/>
      <c r="F51" s="260"/>
      <c r="G51" s="260"/>
    </row>
    <row r="52" customFormat="false" ht="15" hidden="false" customHeight="true" outlineLevel="0" collapsed="false">
      <c r="A52" s="277" t="s">
        <v>1053</v>
      </c>
      <c r="B52" s="277" t="s">
        <v>1054</v>
      </c>
      <c r="C52" s="277" t="s">
        <v>1055</v>
      </c>
      <c r="D52" s="277" t="s">
        <v>1056</v>
      </c>
      <c r="E52" s="277" t="s">
        <v>1057</v>
      </c>
      <c r="F52" s="277" t="s">
        <v>1058</v>
      </c>
      <c r="G52" s="277" t="s">
        <v>1059</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Model!CJ340</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1060</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1061</v>
      </c>
    </row>
    <row r="95" customFormat="false" ht="15" hidden="false" customHeight="true" outlineLevel="0" collapsed="false">
      <c r="A95" s="1" t="s">
        <v>1062</v>
      </c>
    </row>
    <row r="96" customFormat="false" ht="15" hidden="false" customHeight="true" outlineLevel="0" collapsed="false">
      <c r="A96" s="72" t="s">
        <v>1063</v>
      </c>
      <c r="B96" s="281" t="n">
        <f aca="false">SUM(Actuals!C112:N112)</f>
        <v>-1889927.29</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663623.20798986</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819887.61613138</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988089.58395956</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1161522.05487896</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1809157.26080644</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2079315.24878276</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2335810.82887346</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2564835.54840032</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2753112.74516456</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3366364.3900254</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4031058.74516456</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4671420.54840032</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5351572.82887346</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6071697.24878276</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6829927.26080644</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7701057.05487896</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8536656.58395956</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9387512.61613138</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10318145.2079899</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10647144</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11189706</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11568018</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11760399</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11854128</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12241794</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12124431</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11826393</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11365344</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10785459</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10352658</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10010952</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9763509</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9704574</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9701880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9755625</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10078002</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10434696</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10407687</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10417158</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10664883</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10736742</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10624533</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9952569</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9258027</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8783472</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8159178</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7420524</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6292893</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5139747</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4126617</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3194637</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2296026</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1579683</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968721</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397755</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1064</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782885.612848774</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939150.020990294</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1107351.98881847</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1280784.45973787</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2036771.56566535</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2306929.55364167</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2563425.13373237</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2792449.85325923</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2980727.05002347</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3702330.59488431</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4475376.85002347</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5206031.90325923</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5976477.43373237</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6786895.10364167</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7635418.36566535</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8614900.05973787</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9540792.83881847</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10481942.1209903</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11520926.6128488</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11940218.6548589</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12482780.6548589</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12861092.6548589</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13161825.5548589</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13297849.9031018</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13505899.5</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13388536.5</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13090498.5</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12737801.4</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12139857.75</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11688998.1</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11347292.1</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11099849.1</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11058972.75</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11074337.4</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11091965.1</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11432400.75</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11807153.4</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11653733.85</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11482618.35</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11730343.35</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11802202.35</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11798345.25</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10999970.7</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10124842.2</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9650287.2</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9025993.2</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8377632.45</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7177766.85</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5898210.3</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4794787.05</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3790572.45</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2765550.9</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1958914.65</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1275718.05</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578341.5</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1065</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0.0816648426840814</v>
      </c>
      <c r="Z98" s="283" t="n">
        <f aca="false">IFERROR((Z97-Z96)/(Model!Y199-(Model!Y196)),0)</f>
        <v>0.0934027602243221</v>
      </c>
      <c r="AA98" s="283" t="n">
        <f aca="false">IFERROR((AA97-AA96)/(Model!Z199-(Model!Z196)),0)</f>
        <v>0.0866236097336228</v>
      </c>
      <c r="AB98" s="283" t="n">
        <f aca="false">IFERROR((AB97-AB96)/(Model!AA199-(Model!AA196)),0)</f>
        <v>0.0926942252141962</v>
      </c>
      <c r="AC98" s="283" t="n">
        <f aca="false">IFERROR((AC97-AC96)/(Model!AB199-(Model!AB196)),0)</f>
        <v>0.181100553673168</v>
      </c>
      <c r="AD98" s="283" t="n">
        <f aca="false">IFERROR((AD97-AD96)/(Model!AC199-(Model!AC196)),0)</f>
        <v>0.196117361438153</v>
      </c>
      <c r="AE98" s="283" t="n">
        <f aca="false">IFERROR((AE97-AE96)/(Model!AD199-(Model!AD196)),0)</f>
        <v>0.192376903523488</v>
      </c>
      <c r="AF98" s="283" t="n">
        <f aca="false">IFERROR((AF97-AF96)/(Model!AE199-(Model!AE196)),0)</f>
        <v>0.170892915134646</v>
      </c>
      <c r="AG98" s="283" t="n">
        <f aca="false">IFERROR((AG97-AG96)/(Model!AF199-(Model!AF196)),0)</f>
        <v>0.15273093597112</v>
      </c>
      <c r="AH98" s="283" t="n">
        <f aca="false">IFERROR((AH97-AH96)/(Model!AG199-(Model!AG196)),0)</f>
        <v>0.219292302220152</v>
      </c>
      <c r="AI98" s="283" t="n">
        <f aca="false">IFERROR((AI97-AI96)/(Model!AH199-(Model!AH196)),0)</f>
        <v>0.274776194574844</v>
      </c>
      <c r="AJ98" s="283" t="n">
        <f aca="false">IFERROR((AJ97-AJ96)/(Model!AI199-(Model!AI196)),0)</f>
        <v>0.363912966031679</v>
      </c>
      <c r="AK98" s="283" t="n">
        <f aca="false">IFERROR((AK97-AK96)/(Model!AJ199-(Model!AJ196)),0)</f>
        <v>0.381917297231694</v>
      </c>
      <c r="AL98" s="283" t="n">
        <f aca="false">IFERROR((AL97-AL96)/(Model!AK199-(Model!AK196)),0)</f>
        <v>0.536248745225033</v>
      </c>
      <c r="AM98" s="283" t="n">
        <f aca="false">IFERROR((AM97-AM96)/(Model!AL199-(Model!AL196)),0)</f>
        <v>0.560119782338686</v>
      </c>
      <c r="AN98" s="283" t="n">
        <f aca="false">IFERROR((AN97-AN96)/(Model!AM199-(Model!AM196)),0)</f>
        <v>0.586509514502131</v>
      </c>
      <c r="AO98" s="283" t="n">
        <f aca="false">IFERROR((AO97-AO96)/(Model!AN199-(Model!AN196)),0)</f>
        <v>0.617047030980616</v>
      </c>
      <c r="AP98" s="283" t="n">
        <f aca="false">IFERROR((AP97-AP96)/(Model!AO199-(Model!AO196)),0)</f>
        <v>0.688462788667925</v>
      </c>
      <c r="AQ98" s="283" t="n">
        <f aca="false">IFERROR((AQ97-AQ96)/(Model!AP199-(Model!AP196)),0)</f>
        <v>0.784585414285899</v>
      </c>
      <c r="AR98" s="283" t="n">
        <f aca="false">IFERROR((AR97-AR96)/(Model!AQ199-(Model!AQ196)),0)</f>
        <v>0.796567414653734</v>
      </c>
      <c r="AS98" s="283" t="n">
        <f aca="false">IFERROR((AS97-AS96)/(Model!AR199-(Model!AR196)),0)</f>
        <v>0.796567414653734</v>
      </c>
      <c r="AT98" s="283" t="n">
        <f aca="false">IFERROR((AT97-AT96)/(Model!AS199-(Model!AS196)),0)</f>
        <v>0.796567414653734</v>
      </c>
      <c r="AU98" s="283" t="n">
        <f aca="false">IFERROR((AU97-AU96)/(Model!AT199-(Model!AT196)),0)</f>
        <v>0.809296415759796</v>
      </c>
      <c r="AV98" s="283" t="n">
        <f aca="false">IFERROR((AV97-AV96)/(Model!AU199-(Model!AU196)),0)</f>
        <v>0.813843245361135</v>
      </c>
      <c r="AW98" s="283" t="n">
        <f aca="false">IFERROR((AW97-AW96)/(Model!AV199-(Model!AV196)),0)</f>
        <v>0.677141964142776</v>
      </c>
      <c r="AX98" s="283" t="n">
        <f aca="false">IFERROR((AX97-AX96)/(Model!AW199-(Model!AW196)),0)</f>
        <v>0.889109926571815</v>
      </c>
      <c r="AY98" s="283" t="n">
        <f aca="false">IFERROR((AY97-AY96)/(Model!AX199-(Model!AX196)),0)</f>
        <v>0.889109926571815</v>
      </c>
      <c r="AZ98" s="283" t="n">
        <f aca="false">IFERROR((AZ97-AZ96)/(Model!AY199-(Model!AY196)),0)</f>
        <v>0.896962365193284</v>
      </c>
      <c r="BA98" s="283" t="n">
        <f aca="false">IFERROR((BA97-BA96)/(Model!AZ199-(Model!AZ196)),0)</f>
        <v>0.895731777409744</v>
      </c>
      <c r="BB98" s="283" t="n">
        <f aca="false">IFERROR((BB97-BB96)/(Model!BA199-(Model!BA196)),0)</f>
        <v>0.894471440284929</v>
      </c>
      <c r="BC98" s="283" t="n">
        <f aca="false">IFERROR((BC97-BC96)/(Model!BB199-(Model!BB196)),0)</f>
        <v>0.894471440284929</v>
      </c>
      <c r="BD98" s="283" t="n">
        <f aca="false">IFERROR((BD97-BD96)/(Model!BC199-(Model!BC196)),0)</f>
        <v>0.894471440284929</v>
      </c>
      <c r="BE98" s="283" t="n">
        <f aca="false">IFERROR((BE97-BE96)/(Model!BD199-(Model!BD196)),0)</f>
        <v>0.895731777409744</v>
      </c>
      <c r="BF98" s="283" t="n">
        <f aca="false">IFERROR((BF97-BF96)/(Model!BE199-(Model!BE196)),0)</f>
        <v>0.896962365193284</v>
      </c>
      <c r="BG98" s="283" t="n">
        <f aca="false">IFERROR((BG97-BG96)/(Model!BF199-(Model!BF196)),0)</f>
        <v>0.894471440284929</v>
      </c>
      <c r="BH98" s="283" t="n">
        <f aca="false">IFERROR((BH97-BH96)/(Model!BG199-(Model!BG196)),0)</f>
        <v>0.895731777409744</v>
      </c>
      <c r="BI98" s="283" t="n">
        <f aca="false">IFERROR((BI97-BI96)/(Model!BH199-(Model!BH196)),0)</f>
        <v>0.771453776969615</v>
      </c>
      <c r="BJ98" s="283" t="n">
        <f aca="false">IFERROR((BJ97-BJ96)/(Model!BI199-(Model!BI196)),0)</f>
        <v>1</v>
      </c>
      <c r="BK98" s="283" t="n">
        <f aca="false">IFERROR((BK97-BK96)/(Model!BJ199-(Model!BJ196)),0)</f>
        <v>1</v>
      </c>
      <c r="BL98" s="283" t="n">
        <f aca="false">IFERROR((BL97-BL96)/(Model!BK199-(Model!BK196)),0)</f>
        <v>1</v>
      </c>
      <c r="BM98" s="283" t="n">
        <f aca="false">IFERROR((BM97-BM96)/(Model!BL199-(Model!BL196)),0)</f>
        <v>1</v>
      </c>
      <c r="BN98" s="283" t="n">
        <f aca="false">IFERROR((BN97-BN96)/(Model!BM199-(Model!BM196)),0)</f>
        <v>1</v>
      </c>
      <c r="BO98" s="283" t="n">
        <f aca="false">IFERROR((BO97-BO96)/(Model!BN199-(Model!BN196)),0)</f>
        <v>1</v>
      </c>
      <c r="BP98" s="283" t="n">
        <f aca="false">IFERROR((BP97-BP96)/(Model!BO199-(Model!BO196)),0)</f>
        <v>1</v>
      </c>
      <c r="BQ98" s="283" t="n">
        <f aca="false">IFERROR((BQ97-BQ96)/(Model!BP199-(Model!BP196)),0)</f>
        <v>0.999999999999999</v>
      </c>
      <c r="BR98" s="283" t="n">
        <f aca="false">IFERROR((BR97-BR96)/(Model!BQ199-(Model!BQ196)),0)</f>
        <v>0.999999999999999</v>
      </c>
      <c r="BS98" s="283" t="n">
        <f aca="false">IFERROR((BS97-BS96)/(Model!BR199-(Model!BR196)),0)</f>
        <v>1</v>
      </c>
      <c r="BT98" s="283" t="n">
        <f aca="false">IFERROR((BT97-BT96)/(Model!BS199-(Model!BS196)),0)</f>
        <v>1</v>
      </c>
      <c r="BU98" s="283" t="n">
        <f aca="false">IFERROR((BU97-BU96)/(Model!BT199-(Model!BT196)),0)</f>
        <v>1</v>
      </c>
      <c r="BV98" s="283" t="n">
        <f aca="false">IFERROR((BV97-BV96)/(Model!BU199-(Model!BU196)),0)</f>
        <v>1</v>
      </c>
      <c r="BW98" s="283" t="n">
        <f aca="false">IFERROR((BW97-BW96)/(Model!BV199-(Model!BV196)),0)</f>
        <v>0.999999999999999</v>
      </c>
      <c r="BX98" s="283" t="n">
        <f aca="false">IFERROR((BX97-BX96)/(Model!BW199-(Model!BW196)),0)</f>
        <v>1</v>
      </c>
      <c r="BY98" s="283" t="n">
        <f aca="false">IFERROR((BY97-BY96)/(Model!BX199-(Model!BX196)),0)</f>
        <v>1</v>
      </c>
      <c r="BZ98" s="283" t="n">
        <f aca="false">IFERROR((BZ97-BZ96)/(Model!BY199-(Model!BY196)),0)</f>
        <v>0.999999999999999</v>
      </c>
      <c r="CA98" s="283" t="n">
        <f aca="false">IFERROR((CA97-CA96)/(Model!BZ199-(Model!BZ196)),0)</f>
        <v>1</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1066</v>
      </c>
      <c r="B99" s="281" t="n">
        <f aca="false">SUM(Actuals!C17:N17)</f>
        <v>4987438.48</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-35254.7100000004</v>
      </c>
      <c r="L99" s="282" t="n">
        <f aca="false">Model!K199+SUM(Model!K203:K233)+Model!K235-(Model!K196)</f>
        <v>120153.790333334</v>
      </c>
      <c r="M99" s="282" t="n">
        <f aca="false">Model!L199+SUM(Model!L203:L233)+Model!L235-(Model!L196)</f>
        <v>61434.3503333338</v>
      </c>
      <c r="N99" s="282" t="n">
        <f aca="false">Model!M199+SUM(Model!M203:M233)+Model!M235-(Model!M196)</f>
        <v>151155.30957447</v>
      </c>
      <c r="O99" s="282" t="n">
        <f aca="false">Model!N199+SUM(Model!N203:N233)+Model!N235-(Model!N196)</f>
        <v>325058.212959785</v>
      </c>
      <c r="P99" s="282" t="n">
        <f aca="false">Model!O199+SUM(Model!O203:O233)+Model!O235-(Model!O196)</f>
        <v>269645.479440736</v>
      </c>
      <c r="Q99" s="282" t="n">
        <f aca="false">Model!P199+SUM(Model!P203:P233)+Model!P235-(Model!P196)</f>
        <v>328995.099440735</v>
      </c>
      <c r="R99" s="282" t="n">
        <f aca="false">Model!Q199+SUM(Model!Q203:Q233)+Model!Q235-(Model!Q196)</f>
        <v>386410.804908416</v>
      </c>
      <c r="S99" s="282" t="n">
        <f aca="false">Model!R199+SUM(Model!R203:R233)+Model!R235-(Model!R196)</f>
        <v>392561.219304163</v>
      </c>
      <c r="T99" s="282" t="n">
        <f aca="false">Model!S199+SUM(Model!S203:S233)+Model!S235-(Model!S196)</f>
        <v>557295.548361384</v>
      </c>
      <c r="U99" s="282" t="n">
        <f aca="false">Model!T199+SUM(Model!T203:T233)+Model!T235-(Model!T196)</f>
        <v>659633.228361382</v>
      </c>
      <c r="V99" s="282" t="n">
        <f aca="false">Model!U199+SUM(Model!U203:U233)+Model!U235-(Model!U196)</f>
        <v>555931.168361385</v>
      </c>
      <c r="W99" s="282" t="n">
        <f aca="false">Model!V199+SUM(Model!V203:V233)+Model!V235-(Model!V196)</f>
        <v>727397.700466132</v>
      </c>
      <c r="X99" s="282" t="n">
        <f aca="false">Model!W199+SUM(Model!W203:W233)+Model!W235-(Model!W196)</f>
        <v>630746.822766131</v>
      </c>
      <c r="Y99" s="282" t="n">
        <f aca="false">Model!X199+SUM(Model!X203:X233)+Model!X235-(Model!X196)</f>
        <v>900673.187625049</v>
      </c>
      <c r="Z99" s="282" t="n">
        <f aca="false">Model!Y199+SUM(Model!Y203:Y233)+Model!Y235-(Model!Y196)</f>
        <v>717146.267625046</v>
      </c>
      <c r="AA99" s="282" t="n">
        <f aca="false">Model!Z199+SUM(Model!Z203:Z233)+Model!Z235-(Model!Z196)</f>
        <v>817073.267625048</v>
      </c>
      <c r="AB99" s="282" t="n">
        <f aca="false">Model!AA199+SUM(Model!AA203:AA233)+Model!AA235-(Model!AA196)</f>
        <v>726906.327625042</v>
      </c>
      <c r="AC99" s="282" t="n">
        <f aca="false">Model!AB199+SUM(Model!AB203:AB233)+Model!AB235-(Model!AB196)</f>
        <v>697123.957625047</v>
      </c>
      <c r="AD99" s="282" t="n">
        <f aca="false">Model!AC199+SUM(Model!AC203:AC233)+Model!AC235-(Model!AC196)</f>
        <v>589992.809479849</v>
      </c>
      <c r="AE99" s="282" t="n">
        <f aca="false">Model!AD199+SUM(Model!AD203:AD233)+Model!AD235-(Model!AD196)</f>
        <v>612558.849479846</v>
      </c>
      <c r="AF99" s="282" t="n">
        <f aca="false">Model!AE199+SUM(Model!AE203:AE233)+Model!AE235-(Model!AE196)</f>
        <v>761302.170348391</v>
      </c>
      <c r="AG99" s="282" t="n">
        <f aca="false">Model!AF199+SUM(Model!AF203:AF233)+Model!AF235-(Model!AF196)</f>
        <v>919686.297067048</v>
      </c>
      <c r="AH99" s="282" t="n">
        <f aca="false">Model!AG199+SUM(Model!AG203:AG233)+Model!AG235-(Model!AG196)</f>
        <v>940000.562610692</v>
      </c>
      <c r="AI99" s="282" t="n">
        <f aca="false">Model!AH199+SUM(Model!AH203:AH233)+Model!AH235-(Model!AH196)</f>
        <v>1034346.33728554</v>
      </c>
      <c r="AJ99" s="282" t="n">
        <f aca="false">Model!AI199+SUM(Model!AI203:AI233)+Model!AI235-(Model!AI196)</f>
        <v>886391.919921116</v>
      </c>
      <c r="AK99" s="282" t="n">
        <f aca="false">Model!AJ199+SUM(Model!AJ203:AJ233)+Model!AJ235-(Model!AJ196)</f>
        <v>1053558.31888461</v>
      </c>
      <c r="AL99" s="282" t="n">
        <f aca="false">Model!AK199+SUM(Model!AK203:AK233)+Model!AK235-(Model!AK196)</f>
        <v>751033.561284228</v>
      </c>
      <c r="AM99" s="282" t="n">
        <f aca="false">Model!AL199+SUM(Model!AL203:AL233)+Model!AL235-(Model!AL196)</f>
        <v>855397.521284229</v>
      </c>
      <c r="AN99" s="282" t="n">
        <f aca="false">Model!AM199+SUM(Model!AM203:AM233)+Model!AM235-(Model!AM196)</f>
        <v>975432.461284225</v>
      </c>
      <c r="AO99" s="282" t="n">
        <f aca="false">Model!AN199+SUM(Model!AN203:AN233)+Model!AN235-(Model!AN196)</f>
        <v>1001779.18838898</v>
      </c>
      <c r="AP99" s="282" t="n">
        <f aca="false">Model!AO199+SUM(Model!AO203:AO233)+Model!AO235-(Model!AO196)</f>
        <v>926815.308211374</v>
      </c>
      <c r="AQ99" s="282" t="n">
        <f aca="false">Model!AP199+SUM(Model!AP203:AP233)+Model!AP235-(Model!AP196)</f>
        <v>889284.303611374</v>
      </c>
      <c r="AR99" s="282" t="n">
        <f aca="false">Model!AQ199+SUM(Model!AQ203:AQ233)+Model!AQ235-(Model!AQ196)</f>
        <v>979577.553611374</v>
      </c>
      <c r="AS99" s="282" t="n">
        <f aca="false">Model!AR199+SUM(Model!AR203:AR233)+Model!AR235-(Model!AR196)</f>
        <v>979577.553611374</v>
      </c>
      <c r="AT99" s="282" t="n">
        <f aca="false">Model!AS199+SUM(Model!AS203:AS233)+Model!AS235-(Model!AS196)</f>
        <v>979577.553611374</v>
      </c>
      <c r="AU99" s="282" t="n">
        <f aca="false">Model!AT199+SUM(Model!AT203:AT233)+Model!AT235-(Model!AT196)</f>
        <v>1087929.45361137</v>
      </c>
      <c r="AV99" s="282" t="n">
        <f aca="false">Model!AU199+SUM(Model!AU203:AU233)+Model!AU235-(Model!AU196)</f>
        <v>1130224.80185421</v>
      </c>
      <c r="AW99" s="282" t="n">
        <f aca="false">Model!AV199+SUM(Model!AV203:AV233)+Model!AV235-(Model!AV196)</f>
        <v>1223093.98410596</v>
      </c>
      <c r="AX99" s="282" t="n">
        <f aca="false">Model!AW199+SUM(Model!AW203:AW233)+Model!AW235-(Model!AW196)</f>
        <v>778034.194695242</v>
      </c>
      <c r="AY99" s="282" t="n">
        <f aca="false">Model!AX199+SUM(Model!AX203:AX233)+Model!AX235-(Model!AX196)</f>
        <v>780829.710155242</v>
      </c>
      <c r="AZ99" s="282" t="n">
        <f aca="false">Model!AY199+SUM(Model!AY203:AY233)+Model!AY235-(Model!AY196)</f>
        <v>899181.610155243</v>
      </c>
      <c r="BA99" s="282" t="n">
        <f aca="false">Model!AZ199+SUM(Model!AZ203:AZ233)+Model!AZ235-(Model!AZ196)</f>
        <v>881122.960155242</v>
      </c>
      <c r="BB99" s="282" t="n">
        <f aca="false">Model!BA199+SUM(Model!BA203:BA233)+Model!BA235-(Model!BA196)</f>
        <v>850745.601540976</v>
      </c>
      <c r="BC99" s="282" t="n">
        <f aca="false">Model!BB199+SUM(Model!BB203:BB233)+Model!BB235-(Model!BB196)</f>
        <v>860838.779085253</v>
      </c>
      <c r="BD99" s="282" t="n">
        <f aca="false">Model!BC199+SUM(Model!BC203:BC233)+Model!BC235-(Model!BC196)</f>
        <v>896849.765401791</v>
      </c>
      <c r="BE99" s="282" t="n">
        <f aca="false">Model!BD199+SUM(Model!BD203:BD233)+Model!BD235-(Model!BD196)</f>
        <v>924523.800017176</v>
      </c>
      <c r="BF99" s="282" t="n">
        <f aca="false">Model!BE199+SUM(Model!BE203:BE233)+Model!BE235-(Model!BE196)</f>
        <v>942582.450017177</v>
      </c>
      <c r="BG99" s="282" t="n">
        <f aca="false">Model!BF199+SUM(Model!BF203:BF233)+Model!BF235-(Model!BF196)</f>
        <v>906465.150017176</v>
      </c>
      <c r="BH99" s="282" t="n">
        <f aca="false">Model!BG199+SUM(Model!BG203:BG233)+Model!BG235-(Model!BG196)</f>
        <v>924523.800017176</v>
      </c>
      <c r="BI99" s="282" t="n">
        <f aca="false">Model!BH199+SUM(Model!BH203:BH233)+Model!BH235-(Model!BH196)</f>
        <v>1191518.72507278</v>
      </c>
      <c r="BJ99" s="282" t="n">
        <f aca="false">Model!BI199+SUM(Model!BI203:BI233)+Model!BI235-(Model!BI196)</f>
        <v>658512.25914863</v>
      </c>
      <c r="BK99" s="282" t="n">
        <f aca="false">Model!BJ199+SUM(Model!BJ203:BJ233)+Model!BJ235-(Model!BJ196)</f>
        <v>477925.75914863</v>
      </c>
      <c r="BL99" s="282" t="n">
        <f aca="false">Model!BK199+SUM(Model!BK203:BK233)+Model!BK235-(Model!BK196)</f>
        <v>480977.18491783</v>
      </c>
      <c r="BM99" s="282" t="n">
        <f aca="false">Model!BL199+SUM(Model!BL203:BL233)+Model!BL235-(Model!BL196)</f>
        <v>490977.18491783</v>
      </c>
      <c r="BN99" s="282" t="n">
        <f aca="false">Model!BM199+SUM(Model!BM203:BM233)+Model!BM235-(Model!BM196)</f>
        <v>591324.473812902</v>
      </c>
      <c r="BO99" s="282" t="n">
        <f aca="false">Model!BN199+SUM(Model!BN203:BN233)+Model!BN235-(Model!BN196)</f>
        <v>479752.794030899</v>
      </c>
      <c r="BP99" s="282" t="n">
        <f aca="false">Model!BO199+SUM(Model!BO203:BO233)+Model!BO235-(Model!BO196)</f>
        <v>328312.744026334</v>
      </c>
      <c r="BQ99" s="282" t="n">
        <f aca="false">Model!BP199+SUM(Model!BP203:BP233)+Model!BP235-(Model!BP196)</f>
        <v>375959.278419462</v>
      </c>
      <c r="BR99" s="282" t="n">
        <f aca="false">Model!BQ199+SUM(Model!BQ203:BQ233)+Model!BQ235-(Model!BQ196)</f>
        <v>401194.809627123</v>
      </c>
      <c r="BS99" s="282" t="n">
        <f aca="false">Model!BR199+SUM(Model!BR203:BR233)+Model!BR235-(Model!BR196)</f>
        <v>501488.059627123</v>
      </c>
      <c r="BT99" s="282" t="n">
        <f aca="false">Model!BS199+SUM(Model!BS203:BS233)+Model!BS235-(Model!BS196)</f>
        <v>429253.459627122</v>
      </c>
      <c r="BU99" s="282" t="n">
        <f aca="false">Model!BT199+SUM(Model!BT203:BT233)+Model!BT235-(Model!BT196)</f>
        <v>306919.776438918</v>
      </c>
      <c r="BV99" s="282" t="n">
        <f aca="false">Model!BU199+SUM(Model!BU203:BU233)+Model!BU235-(Model!BU196)</f>
        <v>236196.137755121</v>
      </c>
      <c r="BW99" s="282" t="n">
        <f aca="false">Model!BV199+SUM(Model!BV203:BV233)+Model!BV235-(Model!BV196)</f>
        <v>185884.614678199</v>
      </c>
      <c r="BX99" s="282" t="n">
        <f aca="false">Model!BW199+SUM(Model!BW203:BW233)+Model!BW235-(Model!BW196)</f>
        <v>59474.0646781984</v>
      </c>
      <c r="BY99" s="282" t="n">
        <f aca="false">Model!BX199+SUM(Model!BX203:BX233)+Model!BX235-(Model!BX196)</f>
        <v>-30819.1853218016</v>
      </c>
      <c r="BZ99" s="282" t="n">
        <f aca="false">Model!BY199+SUM(Model!BY203:BY233)+Model!BY235-(Model!BY196)</f>
        <v>-110954.802028238</v>
      </c>
      <c r="CA99" s="282" t="n">
        <f aca="false">Model!BZ199+SUM(Model!BZ203:BZ233)+Model!BZ235-(Model!BZ196)</f>
        <v>-237365.352028238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1067</v>
      </c>
      <c r="B100" s="281"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73553.3341771698</v>
      </c>
      <c r="Z100" s="125" t="n">
        <f aca="false">Z98*Z99</f>
        <v>66983.4408807496</v>
      </c>
      <c r="AA100" s="125" t="n">
        <f aca="false">AA98*AA99</f>
        <v>70777.8358585281</v>
      </c>
      <c r="AB100" s="125" t="n">
        <f aca="false">AB98*AB99</f>
        <v>67380.0188425</v>
      </c>
      <c r="AC100" s="125" t="n">
        <f aca="false">AC98*AC99</f>
        <v>126249.534704726</v>
      </c>
      <c r="AD100" s="125" t="n">
        <f aca="false">AD98*AD99</f>
        <v>115707.833062671</v>
      </c>
      <c r="AE100" s="125" t="n">
        <f aca="false">AE98*AE99</f>
        <v>117842.174688843</v>
      </c>
      <c r="AF100" s="125" t="n">
        <f aca="false">AF98*AF99</f>
        <v>130101.147189169</v>
      </c>
      <c r="AG100" s="125" t="n">
        <f aca="false">AG98*AG99</f>
        <v>140464.548950864</v>
      </c>
      <c r="AH100" s="125" t="n">
        <f aca="false">AH98*AH99</f>
        <v>206134.887463137</v>
      </c>
      <c r="AI100" s="125" t="n">
        <f aca="false">AI98*AI99</f>
        <v>284213.750431749</v>
      </c>
      <c r="AJ100" s="125" t="n">
        <f aca="false">AJ98*AJ99</f>
        <v>322569.512645008</v>
      </c>
      <c r="AK100" s="125" t="n">
        <f aca="false">AK98*AK99</f>
        <v>402372.145624376</v>
      </c>
      <c r="AL100" s="125" t="n">
        <f aca="false">AL98*AL99</f>
        <v>402740.804860555</v>
      </c>
      <c r="AM100" s="125" t="n">
        <f aca="false">AM98*AM99</f>
        <v>479125.073434774</v>
      </c>
      <c r="AN100" s="125" t="n">
        <f aca="false">AN98*AN99</f>
        <v>572100.419297429</v>
      </c>
      <c r="AO100" s="125" t="n">
        <f aca="false">AO98*AO99</f>
        <v>618144.873893589</v>
      </c>
      <c r="AP100" s="125" t="n">
        <f aca="false">AP98*AP99</f>
        <v>638077.851671324</v>
      </c>
      <c r="AQ100" s="125" t="n">
        <f aca="false">AQ98*AQ99</f>
        <v>697719.493766878</v>
      </c>
      <c r="AR100" s="125" t="n">
        <f aca="false">AR98*AR99</f>
        <v>780299.559333042</v>
      </c>
      <c r="AS100" s="125" t="n">
        <f aca="false">AS98*AS99</f>
        <v>780299.559333042</v>
      </c>
      <c r="AT100" s="125" t="n">
        <f aca="false">AT98*AT99</f>
        <v>780299.559333042</v>
      </c>
      <c r="AU100" s="125" t="n">
        <f aca="false">AU98*AU99</f>
        <v>880457.407407197</v>
      </c>
      <c r="AV100" s="125" t="n">
        <f aca="false">AV98*AV99</f>
        <v>919825.820728678</v>
      </c>
      <c r="AW100" s="125" t="n">
        <f aca="false">AW98*AW99</f>
        <v>828208.262728721</v>
      </c>
      <c r="AX100" s="125" t="n">
        <f aca="false">AX98*AX99</f>
        <v>691757.925715848</v>
      </c>
      <c r="AY100" s="125" t="n">
        <f aca="false">AY98*AY99</f>
        <v>694243.446261219</v>
      </c>
      <c r="AZ100" s="125" t="n">
        <f aca="false">AZ98*AZ99</f>
        <v>806532.063783152</v>
      </c>
      <c r="BA100" s="125" t="n">
        <f aca="false">BA98*BA99</f>
        <v>789249.83521639</v>
      </c>
      <c r="BB100" s="125" t="n">
        <f aca="false">BB98*BB99</f>
        <v>760967.643526425</v>
      </c>
      <c r="BC100" s="125" t="n">
        <f aca="false">BC98*BC99</f>
        <v>769995.702581506</v>
      </c>
      <c r="BD100" s="125" t="n">
        <f aca="false">BD98*BD99</f>
        <v>802206.501378141</v>
      </c>
      <c r="BE100" s="125" t="n">
        <f aca="false">BE98*BE99</f>
        <v>828125.346646996</v>
      </c>
      <c r="BF100" s="125" t="n">
        <f aca="false">BF98*BF99</f>
        <v>845460.983757087</v>
      </c>
      <c r="BG100" s="125" t="n">
        <f aca="false">BG98*BG99</f>
        <v>810807.188303958</v>
      </c>
      <c r="BH100" s="125" t="n">
        <f aca="false">BH98*BH99</f>
        <v>828125.346646996</v>
      </c>
      <c r="BI100" s="125" t="n">
        <f aca="false">BI98*BI99</f>
        <v>919201.620787414</v>
      </c>
      <c r="BJ100" s="125" t="n">
        <f aca="false">BJ98*BJ99</f>
        <v>658512.25914863</v>
      </c>
      <c r="BK100" s="125" t="n">
        <f aca="false">BK98*BK99</f>
        <v>477925.75914863</v>
      </c>
      <c r="BL100" s="125" t="n">
        <f aca="false">BL98*BL99</f>
        <v>480977.18491783</v>
      </c>
      <c r="BM100" s="125" t="n">
        <f aca="false">BM98*BM99</f>
        <v>490977.18491783</v>
      </c>
      <c r="BN100" s="125" t="n">
        <f aca="false">BN98*BN99</f>
        <v>591324.473812902</v>
      </c>
      <c r="BO100" s="125" t="n">
        <f aca="false">BO98*BO99</f>
        <v>479752.794030899</v>
      </c>
      <c r="BP100" s="125" t="n">
        <f aca="false">BP98*BP99</f>
        <v>328312.744026334</v>
      </c>
      <c r="BQ100" s="125" t="n">
        <f aca="false">BQ98*BQ99</f>
        <v>375959.278419461</v>
      </c>
      <c r="BR100" s="125" t="n">
        <f aca="false">BR98*BR99</f>
        <v>401194.809627122</v>
      </c>
      <c r="BS100" s="125" t="n">
        <f aca="false">BS98*BS99</f>
        <v>501488.059627123</v>
      </c>
      <c r="BT100" s="125" t="n">
        <f aca="false">BT98*BT99</f>
        <v>429253.459627123</v>
      </c>
      <c r="BU100" s="125" t="n">
        <f aca="false">BU98*BU99</f>
        <v>306919.776438918</v>
      </c>
      <c r="BV100" s="125" t="n">
        <f aca="false">BV98*BV99</f>
        <v>236196.137755121</v>
      </c>
      <c r="BW100" s="125" t="n">
        <f aca="false">BW98*BW99</f>
        <v>185884.614678199</v>
      </c>
      <c r="BX100" s="125" t="n">
        <f aca="false">BX98*BX99</f>
        <v>59474.0646781984</v>
      </c>
      <c r="BY100" s="125" t="n">
        <f aca="false">BY98*BY99</f>
        <v>-30819.1853218016</v>
      </c>
      <c r="BZ100" s="125" t="n">
        <f aca="false">BZ98*BZ99</f>
        <v>-110954.802028237</v>
      </c>
      <c r="CA100" s="125" t="n">
        <f aca="false">CA98*CA99</f>
        <v>-237365.352028238</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1068</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397755</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491415</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592230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696180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798270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892830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1451361</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1626258</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1786656</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1924866</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2033904</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2107956</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2142921</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2136702</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2089446</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2003520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1883406</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1735287</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1964376</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1562811</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1550154</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1531596</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1508946</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1482528</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1849116</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1527975</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1668210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1785630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1874250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1929390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1948110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1929390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1874250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1785630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1668210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1527975</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1371810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892830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798270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696180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592230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491415</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397755</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1069</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1070</v>
      </c>
      <c r="C3" s="287" t="s">
        <v>1071</v>
      </c>
      <c r="D3" s="287" t="s">
        <v>1072</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1073</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1074</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1075</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1058</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1076</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1077</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1073</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1074</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1075</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1058</v>
      </c>
      <c r="B16" s="298" t="n">
        <f aca="false">-SUM(Model!E337:CG337)</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1076</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1073</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1074</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1075</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1058</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1076</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1078</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1079</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1080</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1081</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1082</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1083</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1084</v>
      </c>
    </row>
    <row r="41" customFormat="false" ht="15" hidden="false" customHeight="true" outlineLevel="0" collapsed="false">
      <c r="A41" s="322" t="s">
        <v>1085</v>
      </c>
    </row>
    <row r="42" customFormat="false" ht="15" hidden="false" customHeight="true" outlineLevel="0" collapsed="false">
      <c r="A42" s="322" t="s">
        <v>1086</v>
      </c>
    </row>
    <row r="43" customFormat="false" ht="15" hidden="false" customHeight="true" outlineLevel="0" collapsed="false">
      <c r="A43" s="322" t="s">
        <v>1087</v>
      </c>
    </row>
    <row r="44" customFormat="false" ht="15" hidden="false" customHeight="true" outlineLevel="0" collapsed="false">
      <c r="A44" s="322" t="s">
        <v>1088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1089</v>
      </c>
    </row>
    <row r="2" customFormat="false" ht="15" hidden="false" customHeight="true" outlineLevel="0" collapsed="false">
      <c r="A2" s="90" t="s">
        <v>1090</v>
      </c>
      <c r="B2" s="323" t="n">
        <v>0.0025</v>
      </c>
    </row>
    <row r="3" customFormat="false" ht="15" hidden="false" customHeight="true" outlineLevel="0" collapsed="false">
      <c r="A3" s="90" t="s">
        <v>1091</v>
      </c>
      <c r="B3" s="324" t="n">
        <v>0.1</v>
      </c>
    </row>
    <row r="4" customFormat="false" ht="15" hidden="false" customHeight="true" outlineLevel="0" collapsed="false"/>
    <row r="5" customFormat="false" ht="30" hidden="false" customHeight="true" outlineLevel="0" collapsed="false">
      <c r="A5" s="325" t="s">
        <v>1092</v>
      </c>
      <c r="B5" s="325" t="s">
        <v>1093</v>
      </c>
      <c r="C5" s="325" t="s">
        <v>1094</v>
      </c>
      <c r="D5" s="326" t="s">
        <v>1095</v>
      </c>
      <c r="E5" s="326" t="s">
        <v>1096</v>
      </c>
      <c r="F5" s="326" t="s">
        <v>1097</v>
      </c>
      <c r="G5" s="327" t="s">
        <v>547</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1483510.82412124</v>
      </c>
      <c r="E7" s="104" t="n">
        <f aca="false">SUM(Helpers!O101:Z101)</f>
        <v>0</v>
      </c>
      <c r="F7" s="104" t="n">
        <f aca="false">D7-E7</f>
        <v>1483510.82412124</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37183957.0321126</v>
      </c>
      <c r="E8" s="104" t="n">
        <f aca="false">SUM(Helpers!AA101:AL101)</f>
        <v>889170</v>
      </c>
      <c r="F8" s="104" t="n">
        <f aca="false">D8-E8</f>
        <v>36294787.0321126</v>
      </c>
      <c r="G8" s="328"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124158918.723766</v>
      </c>
      <c r="E9" s="104" t="n">
        <f aca="false">SUM(Helpers!AM101:AX101)</f>
        <v>18190134</v>
      </c>
      <c r="F9" s="104" t="n">
        <f aca="false">D9-E9</f>
        <v>105968784.723766</v>
      </c>
      <c r="G9" s="328"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28"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28"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1098</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570609.7154052</v>
      </c>
      <c r="AE16" s="104" t="n">
        <f aca="false">-SUM(Model!AD203:AD233)-Model!AD235</f>
        <v>570609.7154052</v>
      </c>
      <c r="AF16" s="104" t="n">
        <f aca="false">-SUM(Model!AE203:AE233)-Model!AE235</f>
        <v>570609.7154052</v>
      </c>
      <c r="AG16" s="104" t="n">
        <f aca="false">-SUM(Model!AF203:AF233)-Model!AF235</f>
        <v>570609.7154052</v>
      </c>
      <c r="AH16" s="104" t="n">
        <f aca="false">-SUM(Model!AG203:AG233)-Model!AG235</f>
        <v>592046.8529052</v>
      </c>
      <c r="AI16" s="104" t="n">
        <f aca="false">-SUM(Model!AH203:AH233)-Model!AH235</f>
        <v>582671.8529052</v>
      </c>
      <c r="AJ16" s="104" t="n">
        <f aca="false">-SUM(Model!AI203:AI233)-Model!AI235</f>
        <v>582671.8529052</v>
      </c>
      <c r="AK16" s="104" t="n">
        <f aca="false">-SUM(Model!AJ203:AJ233)-Model!AJ235</f>
        <v>582671.8529052</v>
      </c>
      <c r="AL16" s="104" t="n">
        <f aca="false">-SUM(Model!AK203:AK233)-Model!AK235</f>
        <v>582671.8529052</v>
      </c>
      <c r="AM16" s="104" t="n">
        <f aca="false">-SUM(Model!AL203:AL233)-Model!AL235</f>
        <v>582671.8529052</v>
      </c>
      <c r="AN16" s="104" t="n">
        <f aca="false">-SUM(Model!AM203:AM233)-Model!AM235</f>
        <v>582671.8529052</v>
      </c>
      <c r="AO16" s="104" t="n">
        <f aca="false">-SUM(Model!AN203:AN233)-Model!AN235</f>
        <v>625546.1279052</v>
      </c>
      <c r="AP16" s="104" t="n">
        <f aca="false">-SUM(Model!AO203:AO233)-Model!AO235</f>
        <v>662855.946173304</v>
      </c>
      <c r="AQ16" s="104" t="n">
        <f aca="false">-SUM(Model!AP203:AP233)-Model!AP235</f>
        <v>643730.946173304</v>
      </c>
      <c r="AR16" s="104" t="n">
        <f aca="false">-SUM(Model!AQ203:AQ233)-Model!AQ235</f>
        <v>643730.946173304</v>
      </c>
      <c r="AS16" s="104" t="n">
        <f aca="false">-SUM(Model!AR203:AR233)-Model!AR235</f>
        <v>643730.946173304</v>
      </c>
      <c r="AT16" s="104" t="n">
        <f aca="false">-SUM(Model!AS203:AS233)-Model!AS235</f>
        <v>643730.946173304</v>
      </c>
      <c r="AU16" s="104" t="n">
        <f aca="false">-SUM(Model!AT203:AT233)-Model!AT235</f>
        <v>643730.946173304</v>
      </c>
      <c r="AV16" s="104" t="n">
        <f aca="false">-SUM(Model!AU203:AU233)-Model!AU235</f>
        <v>643730.946173304</v>
      </c>
      <c r="AW16" s="104" t="n">
        <f aca="false">-SUM(Model!AV203:AV233)-Model!AV235</f>
        <v>643730.946173304</v>
      </c>
      <c r="AX16" s="104" t="n">
        <f aca="false">-SUM(Model!AW203:AW233)-Model!AW235</f>
        <v>643730.946173304</v>
      </c>
      <c r="AY16" s="104" t="n">
        <f aca="false">-SUM(Model!AX203:AX233)-Model!AX235</f>
        <v>640935.430713304</v>
      </c>
      <c r="AZ16" s="104" t="n">
        <f aca="false">-SUM(Model!AY203:AY233)-Model!AY235</f>
        <v>630935.430713304</v>
      </c>
      <c r="BA16" s="104" t="n">
        <f aca="false">-SUM(Model!AZ203:AZ233)-Model!AZ235</f>
        <v>630935.430713304</v>
      </c>
      <c r="BB16" s="104" t="n">
        <f aca="false">-SUM(Model!BA203:BA233)-Model!BA235</f>
        <v>643254.13932757</v>
      </c>
      <c r="BC16" s="104" t="n">
        <f aca="false">-SUM(Model!BB203:BB233)-Model!BB235</f>
        <v>633160.961783293</v>
      </c>
      <c r="BD16" s="104" t="n">
        <f aca="false">-SUM(Model!BC203:BC233)-Model!BC235</f>
        <v>597149.975466755</v>
      </c>
      <c r="BE16" s="104" t="n">
        <f aca="false">-SUM(Model!BD203:BD233)-Model!BD235</f>
        <v>587534.59085137</v>
      </c>
      <c r="BF16" s="104" t="n">
        <f aca="false">-SUM(Model!BE203:BE233)-Model!BE235</f>
        <v>587534.59085137</v>
      </c>
      <c r="BG16" s="104" t="n">
        <f aca="false">-SUM(Model!BF203:BF233)-Model!BF235</f>
        <v>587534.59085137</v>
      </c>
      <c r="BH16" s="104" t="n">
        <f aca="false">-SUM(Model!BG203:BG233)-Model!BG235</f>
        <v>587534.59085137</v>
      </c>
      <c r="BI16" s="104" t="n">
        <f aca="false">-SUM(Model!BH203:BH233)-Model!BH235</f>
        <v>587534.59085137</v>
      </c>
      <c r="BJ16" s="104" t="n">
        <f aca="false">-SUM(Model!BI203:BI233)-Model!BI235</f>
        <v>587534.59085137</v>
      </c>
      <c r="BK16" s="104" t="n">
        <f aca="false">-SUM(Model!BJ203:BJ233)-Model!BJ235</f>
        <v>587534.59085137</v>
      </c>
      <c r="BL16" s="104" t="n">
        <f aca="false">-SUM(Model!BK203:BK233)-Model!BK235</f>
        <v>584483.16508217</v>
      </c>
      <c r="BM16" s="104" t="n">
        <f aca="false">-SUM(Model!BL203:BL233)-Model!BL235</f>
        <v>574483.16508217</v>
      </c>
      <c r="BN16" s="104" t="n">
        <f aca="false">-SUM(Model!BM203:BM233)-Model!BM235</f>
        <v>582487.776187098</v>
      </c>
      <c r="BO16" s="104" t="n">
        <f aca="false">-SUM(Model!BN203:BN233)-Model!BN235</f>
        <v>567648.9059691</v>
      </c>
      <c r="BP16" s="104" t="n">
        <f aca="false">-SUM(Model!BO203:BO233)-Model!BO235</f>
        <v>538502.455973665</v>
      </c>
      <c r="BQ16" s="104" t="n">
        <f aca="false">-SUM(Model!BP203:BP233)-Model!BP235</f>
        <v>490855.921580538</v>
      </c>
      <c r="BR16" s="104" t="n">
        <f aca="false">-SUM(Model!BQ203:BQ233)-Model!BQ235</f>
        <v>465620.390372878</v>
      </c>
      <c r="BS16" s="104" t="n">
        <f aca="false">-SUM(Model!BR203:BR233)-Model!BR235</f>
        <v>455620.390372878</v>
      </c>
      <c r="BT16" s="104" t="n">
        <f aca="false">-SUM(Model!BS203:BS233)-Model!BS235</f>
        <v>455620.390372878</v>
      </c>
      <c r="BU16" s="104" t="n">
        <f aca="false">-SUM(Model!BT203:BT233)-Model!BT235</f>
        <v>451543.523561082</v>
      </c>
      <c r="BV16" s="104" t="n">
        <f aca="false">-SUM(Model!BU203:BU233)-Model!BU235</f>
        <v>431973.912244878</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1099</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12</v>
      </c>
      <c r="AD17" s="9" t="n">
        <f aca="false">SUMPRODUCT((Projects!$G$2:$G$14="Yes")*(AD$15&gt;=Projects!$C$2:$C$14)*(AD$15&lt;Projects!$C$2:$C$14+Projects!$D$2:$D$14))+SUMPRODUCT((Projects!$G$17:$G$46="Yes")*(AD$15&gt;=Projects!$C$17:$C$46)*(AD$15&lt;Projects!$C$17:$C$46+Projects!$D$17:$D$46))</f>
        <v>11</v>
      </c>
      <c r="AE17" s="9" t="n">
        <f aca="false">SUMPRODUCT((Projects!$G$2:$G$14="Yes")*(AE$15&gt;=Projects!$C$2:$C$14)*(AE$15&lt;Projects!$C$2:$C$14+Projects!$D$2:$D$14))+SUMPRODUCT((Projects!$G$17:$G$46="Yes")*(AE$15&gt;=Projects!$C$17:$C$46)*(AE$15&lt;Projects!$C$17:$C$46+Projects!$D$17:$D$46))</f>
        <v>11</v>
      </c>
      <c r="AF17" s="9" t="n">
        <f aca="false">SUMPRODUCT((Projects!$G$2:$G$14="Yes")*(AF$15&gt;=Projects!$C$2:$C$14)*(AF$15&lt;Projects!$C$2:$C$14+Projects!$D$2:$D$14))+SUMPRODUCT((Projects!$G$17:$G$46="Yes")*(AF$15&gt;=Projects!$C$17:$C$46)*(AF$15&lt;Projects!$C$17:$C$46+Projects!$D$17:$D$46))</f>
        <v>12</v>
      </c>
      <c r="AG17" s="9" t="n">
        <f aca="false">SUMPRODUCT((Projects!$G$2:$G$14="Yes")*(AG$15&gt;=Projects!$C$2:$C$14)*(AG$15&lt;Projects!$C$2:$C$14+Projects!$D$2:$D$14))+SUMPRODUCT((Projects!$G$17:$G$46="Yes")*(AG$15&gt;=Projects!$C$17:$C$46)*(AG$15&lt;Projects!$C$17:$C$46+Projects!$D$17:$D$46))</f>
        <v>12</v>
      </c>
      <c r="AH17" s="9" t="n">
        <f aca="false">SUMPRODUCT((Projects!$G$2:$G$14="Yes")*(AH$15&gt;=Projects!$C$2:$C$14)*(AH$15&lt;Projects!$C$2:$C$14+Projects!$D$2:$D$14))+SUMPRODUCT((Projects!$G$17:$G$46="Yes")*(AH$15&gt;=Projects!$C$17:$C$46)*(AH$15&lt;Projects!$C$17:$C$46+Projects!$D$17:$D$46))</f>
        <v>11</v>
      </c>
      <c r="AI17" s="9" t="n">
        <f aca="false">SUMPRODUCT((Projects!$G$2:$G$14="Yes")*(AI$15&gt;=Projects!$C$2:$C$14)*(AI$15&lt;Projects!$C$2:$C$14+Projects!$D$2:$D$14))+SUMPRODUCT((Projects!$G$17:$G$46="Yes")*(AI$15&gt;=Projects!$C$17:$C$46)*(AI$15&lt;Projects!$C$17:$C$46+Projects!$D$17:$D$46))</f>
        <v>11</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12</v>
      </c>
      <c r="AN17" s="9" t="n">
        <f aca="false">SUMPRODUCT((Projects!$G$2:$G$14="Yes")*(AN$15&gt;=Projects!$C$2:$C$14)*(AN$15&lt;Projects!$C$2:$C$14+Projects!$D$2:$D$14))+SUMPRODUCT((Projects!$G$17:$G$46="Yes")*(AN$15&gt;=Projects!$C$17:$C$46)*(AN$15&lt;Projects!$C$17:$C$46+Projects!$D$17:$D$46))</f>
        <v>13</v>
      </c>
      <c r="AO17" s="9" t="n">
        <f aca="false">SUMPRODUCT((Projects!$G$2:$G$14="Yes")*(AO$15&gt;=Projects!$C$2:$C$14)*(AO$15&lt;Projects!$C$2:$C$14+Projects!$D$2:$D$14))+SUMPRODUCT((Projects!$G$17:$G$46="Yes")*(AO$15&gt;=Projects!$C$17:$C$46)*(AO$15&lt;Projects!$C$17:$C$46+Projects!$D$17:$D$46))</f>
        <v>14</v>
      </c>
      <c r="AP17" s="9" t="n">
        <f aca="false">SUMPRODUCT((Projects!$G$2:$G$14="Yes")*(AP$15&gt;=Projects!$C$2:$C$14)*(AP$15&lt;Projects!$C$2:$C$14+Projects!$D$2:$D$14))+SUMPRODUCT((Projects!$G$17:$G$46="Yes")*(AP$15&gt;=Projects!$C$17:$C$46)*(AP$15&lt;Projects!$C$17:$C$46+Projects!$D$17:$D$46))</f>
        <v>14</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15</v>
      </c>
      <c r="AW17" s="9" t="n">
        <f aca="false">SUMPRODUCT((Projects!$G$2:$G$14="Yes")*(AW$15&gt;=Projects!$C$2:$C$14)*(AW$15&lt;Projects!$C$2:$C$14+Projects!$D$2:$D$14))+SUMPRODUCT((Projects!$G$17:$G$46="Yes")*(AW$15&gt;=Projects!$C$17:$C$46)*(AW$15&lt;Projects!$C$17:$C$46+Projects!$D$17:$D$46))</f>
        <v>15</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1100</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46642.950605</v>
      </c>
      <c r="Z18" s="104" t="n">
        <f aca="false">IFERROR(Z16/Z17,0)</f>
        <v>46642.950605</v>
      </c>
      <c r="AA18" s="104" t="n">
        <f aca="false">IFERROR(AA16/AA17,0)</f>
        <v>46642.950605</v>
      </c>
      <c r="AB18" s="104" t="n">
        <f aca="false">IFERROR(AB16/AB17,0)</f>
        <v>46642.950605</v>
      </c>
      <c r="AC18" s="104" t="n">
        <f aca="false">IFERROR(AC16/AC17,0)</f>
        <v>46642.950605</v>
      </c>
      <c r="AD18" s="104" t="n">
        <f aca="false">IFERROR(AD16/AD17,0)</f>
        <v>51873.6104913818</v>
      </c>
      <c r="AE18" s="104" t="n">
        <f aca="false">IFERROR(AE16/AE17,0)</f>
        <v>51873.6104913818</v>
      </c>
      <c r="AF18" s="104" t="n">
        <f aca="false">IFERROR(AF16/AF17,0)</f>
        <v>47550.8096171</v>
      </c>
      <c r="AG18" s="104" t="n">
        <f aca="false">IFERROR(AG16/AG17,0)</f>
        <v>47550.8096171</v>
      </c>
      <c r="AH18" s="104" t="n">
        <f aca="false">IFERROR(AH16/AH17,0)</f>
        <v>53822.4411732</v>
      </c>
      <c r="AI18" s="104" t="n">
        <f aca="false">IFERROR(AI16/AI17,0)</f>
        <v>52970.1684459273</v>
      </c>
      <c r="AJ18" s="104" t="n">
        <f aca="false">IFERROR(AJ16/AJ17,0)</f>
        <v>52970.1684459273</v>
      </c>
      <c r="AK18" s="104" t="n">
        <f aca="false">IFERROR(AK16/AK17,0)</f>
        <v>48555.9877421</v>
      </c>
      <c r="AL18" s="104" t="n">
        <f aca="false">IFERROR(AL16/AL17,0)</f>
        <v>52970.1684459273</v>
      </c>
      <c r="AM18" s="104" t="n">
        <f aca="false">IFERROR(AM16/AM17,0)</f>
        <v>48555.9877421</v>
      </c>
      <c r="AN18" s="104" t="n">
        <f aca="false">IFERROR(AN16/AN17,0)</f>
        <v>44820.9117619385</v>
      </c>
      <c r="AO18" s="104" t="n">
        <f aca="false">IFERROR(AO16/AO17,0)</f>
        <v>44681.8662789429</v>
      </c>
      <c r="AP18" s="104" t="n">
        <f aca="false">IFERROR(AP16/AP17,0)</f>
        <v>47346.8532980932</v>
      </c>
      <c r="AQ18" s="104" t="n">
        <f aca="false">IFERROR(AQ16/AQ17,0)</f>
        <v>45980.7818695217</v>
      </c>
      <c r="AR18" s="104" t="n">
        <f aca="false">IFERROR(AR16/AR17,0)</f>
        <v>42915.3964115536</v>
      </c>
      <c r="AS18" s="104" t="n">
        <f aca="false">IFERROR(AS16/AS17,0)</f>
        <v>42915.3964115536</v>
      </c>
      <c r="AT18" s="104" t="n">
        <f aca="false">IFERROR(AT16/AT17,0)</f>
        <v>42915.3964115536</v>
      </c>
      <c r="AU18" s="104" t="n">
        <f aca="false">IFERROR(AU16/AU17,0)</f>
        <v>42915.3964115536</v>
      </c>
      <c r="AV18" s="104" t="n">
        <f aca="false">IFERROR(AV16/AV17,0)</f>
        <v>42915.3964115536</v>
      </c>
      <c r="AW18" s="104" t="n">
        <f aca="false">IFERROR(AW16/AW17,0)</f>
        <v>42915.3964115536</v>
      </c>
      <c r="AX18" s="104" t="n">
        <f aca="false">IFERROR(AX16/AX17,0)</f>
        <v>45980.7818695217</v>
      </c>
      <c r="AY18" s="104" t="n">
        <f aca="false">IFERROR(AY16/AY17,0)</f>
        <v>45781.1021938074</v>
      </c>
      <c r="AZ18" s="104" t="n">
        <f aca="false">IFERROR(AZ16/AZ17,0)</f>
        <v>45066.8164795217</v>
      </c>
      <c r="BA18" s="104" t="n">
        <f aca="false">IFERROR(BA16/BA17,0)</f>
        <v>45066.8164795217</v>
      </c>
      <c r="BB18" s="104" t="n">
        <f aca="false">IFERROR(BB16/BB17,0)</f>
        <v>45946.7242376836</v>
      </c>
      <c r="BC18" s="104" t="n">
        <f aca="false">IFERROR(BC16/BC17,0)</f>
        <v>45225.7829845209</v>
      </c>
      <c r="BD18" s="104" t="n">
        <f aca="false">IFERROR(BD16/BD17,0)</f>
        <v>42653.5696761968</v>
      </c>
      <c r="BE18" s="104" t="n">
        <f aca="false">IFERROR(BE16/BE17,0)</f>
        <v>41966.7564893836</v>
      </c>
      <c r="BF18" s="104" t="n">
        <f aca="false">IFERROR(BF16/BF17,0)</f>
        <v>41966.7564893836</v>
      </c>
      <c r="BG18" s="104" t="n">
        <f aca="false">IFERROR(BG16/BG17,0)</f>
        <v>41966.7564893836</v>
      </c>
      <c r="BH18" s="104" t="n">
        <f aca="false">IFERROR(BH16/BH17,0)</f>
        <v>41966.7564893836</v>
      </c>
      <c r="BI18" s="104" t="n">
        <f aca="false">IFERROR(BI16/BI17,0)</f>
        <v>41966.7564893836</v>
      </c>
      <c r="BJ18" s="104" t="n">
        <f aca="false">IFERROR(BJ16/BJ17,0)</f>
        <v>48961.2159042808</v>
      </c>
      <c r="BK18" s="104" t="n">
        <f aca="false">IFERROR(BK16/BK17,0)</f>
        <v>53412.2355319427</v>
      </c>
      <c r="BL18" s="104" t="n">
        <f aca="false">IFERROR(BL16/BL17,0)</f>
        <v>53134.8331892882</v>
      </c>
      <c r="BM18" s="104" t="n">
        <f aca="false">IFERROR(BM16/BM17,0)</f>
        <v>52225.7422801973</v>
      </c>
      <c r="BN18" s="104" t="n">
        <f aca="false">IFERROR(BN16/BN17,0)</f>
        <v>52953.4341988271</v>
      </c>
      <c r="BO18" s="104" t="n">
        <f aca="false">IFERROR(BO16/BO17,0)</f>
        <v>56764.89059691</v>
      </c>
      <c r="BP18" s="104" t="n">
        <f aca="false">IFERROR(BP16/BP17,0)</f>
        <v>59833.6062192961</v>
      </c>
      <c r="BQ18" s="104" t="n">
        <f aca="false">IFERROR(BQ16/BQ17,0)</f>
        <v>54539.546842282</v>
      </c>
      <c r="BR18" s="104" t="n">
        <f aca="false">IFERROR(BR16/BR17,0)</f>
        <v>51735.5989303197</v>
      </c>
      <c r="BS18" s="104" t="n">
        <f aca="false">IFERROR(BS16/BS17,0)</f>
        <v>50624.4878192086</v>
      </c>
      <c r="BT18" s="104" t="n">
        <f aca="false">IFERROR(BT16/BT17,0)</f>
        <v>56952.5487966097</v>
      </c>
      <c r="BU18" s="104" t="n">
        <f aca="false">IFERROR(BU16/BU17,0)</f>
        <v>64506.2176515831</v>
      </c>
      <c r="BV18" s="104" t="n">
        <f aca="false">IFERROR(BV16/BV17,0)</f>
        <v>71995.6520408131</v>
      </c>
      <c r="BW18" s="104" t="n">
        <f aca="false">IFERROR(BW16/BW17,0)</f>
        <v>82010.1670643603</v>
      </c>
      <c r="BX18" s="104" t="n">
        <f aca="false">IFERROR(BX16/BX17,0)</f>
        <v>102512.70883045</v>
      </c>
      <c r="BY18" s="104" t="n">
        <f aca="false">IFERROR(BY16/BY17,0)</f>
        <v>136683.611773934</v>
      </c>
      <c r="BZ18" s="104" t="n">
        <f aca="false">IFERROR(BZ16/BZ17,0)</f>
        <v>208975.926014119</v>
      </c>
      <c r="CA18" s="104" t="n">
        <f aca="false">IFERROR(CA16/CA17,0)</f>
        <v>417951.852028238</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1101</v>
      </c>
      <c r="B20" s="122" t="s">
        <v>783</v>
      </c>
      <c r="C20" s="122" t="s">
        <v>593</v>
      </c>
      <c r="D20" s="122" t="s">
        <v>595</v>
      </c>
      <c r="E20" s="122" t="s">
        <v>567</v>
      </c>
      <c r="F20" s="122" t="s">
        <v>1102</v>
      </c>
      <c r="G20" s="122" t="s">
        <v>594</v>
      </c>
      <c r="H20" s="122" t="s">
        <v>1103</v>
      </c>
      <c r="I20" s="122" t="s">
        <v>1104</v>
      </c>
      <c r="J20" s="122" t="s">
        <v>1105</v>
      </c>
      <c r="K20" s="122" t="s">
        <v>1106</v>
      </c>
      <c r="L20" s="122" t="s">
        <v>1107</v>
      </c>
      <c r="M20" s="122" t="s">
        <v>1108</v>
      </c>
      <c r="N20" s="122" t="s">
        <v>1109</v>
      </c>
      <c r="O20" s="122" t="s">
        <v>1110</v>
      </c>
      <c r="P20" s="122" t="s">
        <v>487</v>
      </c>
      <c r="Q20" s="122" t="s">
        <v>1111</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1</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0.1</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Yes</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1139315.91050341</v>
      </c>
      <c r="L24" s="104" t="n">
        <f aca="false">J24-K24</f>
        <v>1873629.05435337</v>
      </c>
      <c r="M24" s="324" t="n">
        <f aca="false">$B$3*I24</f>
        <v>0.1</v>
      </c>
      <c r="N24" s="104" t="n">
        <f aca="false">IF($E24="Yes",$B$2*$B24,0)</f>
        <v>62565.82645</v>
      </c>
      <c r="O24" s="104" t="n">
        <f aca="false">M24*MAX(0,L24)</f>
        <v>187362.905435337</v>
      </c>
      <c r="P24" s="104" t="n">
        <f aca="false">N24+Q24</f>
        <v>187362.905435337</v>
      </c>
      <c r="Q24" s="104" t="n">
        <f aca="false">MAX(0,O24-N24)</f>
        <v>124797.078985337</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IF(Projects!$X$23="Yes",Projects!G23,"No")</f>
        <v>No</v>
      </c>
      <c r="F27" s="1" t="str">
        <f aca="false">Projects!M23</f>
        <v>Yes</v>
      </c>
      <c r="G27" s="9" t="n">
        <f aca="false">C27+D27-1</f>
        <v>35</v>
      </c>
      <c r="H27" s="9" t="n">
        <f aca="false">C27+1</f>
        <v>18</v>
      </c>
      <c r="I27" s="324"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IF(Projects!$X$24="Yes",Projects!G24,"No")</f>
        <v>Yes</v>
      </c>
      <c r="F28" s="1" t="str">
        <f aca="false">Projects!M24</f>
        <v>No</v>
      </c>
      <c r="G28" s="9" t="n">
        <f aca="false">C28+D28-1</f>
        <v>42</v>
      </c>
      <c r="H28" s="9" t="n">
        <f aca="false">C28+1</f>
        <v>25</v>
      </c>
      <c r="I28" s="324"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909828.711671856</v>
      </c>
      <c r="L28" s="104" t="n">
        <f aca="false">J28-K28</f>
        <v>1257209.28832814</v>
      </c>
      <c r="M28" s="324" t="n">
        <f aca="false">$B$3*I28</f>
        <v>0.1</v>
      </c>
      <c r="N28" s="104" t="n">
        <f aca="false">IF($E28="Yes",$B$2*$B28,0)</f>
        <v>45000</v>
      </c>
      <c r="O28" s="104" t="n">
        <f aca="false">M28*MAX(0,L28)</f>
        <v>125720.928832814</v>
      </c>
      <c r="P28" s="104" t="n">
        <f aca="false">N28+Q28</f>
        <v>125720.928832814</v>
      </c>
      <c r="Q28" s="104" t="n">
        <f aca="false">MAX(0,O28-N28)</f>
        <v>80720.9288328144</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IF(Projects!$X$25="Yes",Projects!G25,"No")</f>
        <v>Yes</v>
      </c>
      <c r="F29" s="1" t="str">
        <f aca="false">Projects!M25</f>
        <v>No</v>
      </c>
      <c r="G29" s="9" t="n">
        <f aca="false">C29+D29-1</f>
        <v>47</v>
      </c>
      <c r="H29" s="9" t="n">
        <f aca="false">C29+1</f>
        <v>30</v>
      </c>
      <c r="I29" s="324"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886996.414215851</v>
      </c>
      <c r="L29" s="104" t="n">
        <f aca="false">J29-K29</f>
        <v>1280041.58578415</v>
      </c>
      <c r="M29" s="324" t="n">
        <f aca="false">$B$3*I29</f>
        <v>0.1</v>
      </c>
      <c r="N29" s="104" t="n">
        <f aca="false">IF($E29="Yes",$B$2*$B29,0)</f>
        <v>45000</v>
      </c>
      <c r="O29" s="104" t="n">
        <f aca="false">M29*MAX(0,L29)</f>
        <v>128004.158578415</v>
      </c>
      <c r="P29" s="104" t="n">
        <f aca="false">N29+Q29</f>
        <v>128004.158578415</v>
      </c>
      <c r="Q29" s="104" t="n">
        <f aca="false">MAX(0,O29-N29)</f>
        <v>83004.1585784149</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IF(Projects!$X$26="Yes",Projects!G26,"No")</f>
        <v>Yes</v>
      </c>
      <c r="F30" s="1" t="str">
        <f aca="false">Projects!M26</f>
        <v>No</v>
      </c>
      <c r="G30" s="9" t="n">
        <f aca="false">C30+D30-1</f>
        <v>48</v>
      </c>
      <c r="H30" s="9" t="n">
        <f aca="false">C30+1</f>
        <v>31</v>
      </c>
      <c r="I30" s="324"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878240.789522172</v>
      </c>
      <c r="L30" s="104" t="n">
        <f aca="false">J30-K30</f>
        <v>1288797.21047783</v>
      </c>
      <c r="M30" s="324" t="n">
        <f aca="false">$B$3*I30</f>
        <v>0.1</v>
      </c>
      <c r="N30" s="104" t="n">
        <f aca="false">IF($E30="Yes",$B$2*$B30,0)</f>
        <v>45000</v>
      </c>
      <c r="O30" s="104" t="n">
        <f aca="false">M30*MAX(0,L30)</f>
        <v>128879.721047783</v>
      </c>
      <c r="P30" s="104" t="n">
        <f aca="false">N30+Q30</f>
        <v>128879.721047783</v>
      </c>
      <c r="Q30" s="104" t="n">
        <f aca="false">MAX(0,O30-N30)</f>
        <v>83879.7210477828</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IF(Projects!$X$27="Yes",Projects!G27,"No")</f>
        <v>Yes</v>
      </c>
      <c r="F31" s="1" t="str">
        <f aca="false">Projects!M27</f>
        <v>No</v>
      </c>
      <c r="G31" s="9" t="n">
        <f aca="false">C31+D31-1</f>
        <v>49</v>
      </c>
      <c r="H31" s="9" t="n">
        <f aca="false">C31+1</f>
        <v>32</v>
      </c>
      <c r="I31" s="324"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871217.345313929</v>
      </c>
      <c r="L31" s="104" t="n">
        <f aca="false">J31-K31</f>
        <v>934647.654686071</v>
      </c>
      <c r="M31" s="324" t="n">
        <f aca="false">$B$3*I31</f>
        <v>0.1</v>
      </c>
      <c r="N31" s="104" t="n">
        <f aca="false">IF($E31="Yes",$B$2*$B31,0)</f>
        <v>37500</v>
      </c>
      <c r="O31" s="104" t="n">
        <f aca="false">M31*MAX(0,L31)</f>
        <v>93464.7654686071</v>
      </c>
      <c r="P31" s="104" t="n">
        <f aca="false">N31+Q31</f>
        <v>93464.7654686071</v>
      </c>
      <c r="Q31" s="104" t="n">
        <f aca="false">MAX(0,O31-N31)</f>
        <v>55964.7654686071</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IF(Projects!$X$28="Yes",Projects!G28,"No")</f>
        <v>Yes</v>
      </c>
      <c r="F32" s="1" t="str">
        <f aca="false">Projects!M28</f>
        <v>Yes</v>
      </c>
      <c r="G32" s="9" t="n">
        <f aca="false">C32+D32-1</f>
        <v>50</v>
      </c>
      <c r="H32" s="9" t="n">
        <f aca="false">C32+1</f>
        <v>33</v>
      </c>
      <c r="I32" s="324"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863472.959852522</v>
      </c>
      <c r="L32" s="104" t="n">
        <f aca="false">J32-K32</f>
        <v>942392.040147478</v>
      </c>
      <c r="M32" s="324" t="n">
        <f aca="false">$B$3*I32</f>
        <v>0.1</v>
      </c>
      <c r="N32" s="104" t="n">
        <f aca="false">IF($E32="Yes",$B$2*$B32,0)</f>
        <v>37500</v>
      </c>
      <c r="O32" s="104" t="n">
        <f aca="false">M32*MAX(0,L32)</f>
        <v>94239.2040147478</v>
      </c>
      <c r="P32" s="104" t="n">
        <f aca="false">N32+Q32</f>
        <v>94239.2040147478</v>
      </c>
      <c r="Q32" s="104" t="n">
        <f aca="false">MAX(0,O32-N32)</f>
        <v>56739.2040147478</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IF(Projects!$X$29="Yes",Projects!G29,"No")</f>
        <v>Yes</v>
      </c>
      <c r="F33" s="1" t="str">
        <f aca="false">Projects!M29</f>
        <v>No</v>
      </c>
      <c r="G33" s="9" t="n">
        <f aca="false">C33+D33-1</f>
        <v>51</v>
      </c>
      <c r="H33" s="9" t="n">
        <f aca="false">C33+1</f>
        <v>34</v>
      </c>
      <c r="I33" s="324"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857570.541786619</v>
      </c>
      <c r="L33" s="104" t="n">
        <f aca="false">J33-K33</f>
        <v>948294.458213381</v>
      </c>
      <c r="M33" s="324" t="n">
        <f aca="false">$B$3*I33</f>
        <v>0.1</v>
      </c>
      <c r="N33" s="104" t="n">
        <f aca="false">IF($E33="Yes",$B$2*$B33,0)</f>
        <v>37500</v>
      </c>
      <c r="O33" s="104" t="n">
        <f aca="false">M33*MAX(0,L33)</f>
        <v>94829.4458213381</v>
      </c>
      <c r="P33" s="104" t="n">
        <f aca="false">N33+Q33</f>
        <v>94829.4458213381</v>
      </c>
      <c r="Q33" s="104" t="n">
        <f aca="false">MAX(0,O33-N33)</f>
        <v>57329.4458213381</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IF(Projects!$X$30="Yes",Projects!G30,"No")</f>
        <v>Yes</v>
      </c>
      <c r="F34" s="1" t="str">
        <f aca="false">Projects!M30</f>
        <v>No</v>
      </c>
      <c r="G34" s="9" t="n">
        <f aca="false">C34+D34-1</f>
        <v>52</v>
      </c>
      <c r="H34" s="9" t="n">
        <f aca="false">C34+1</f>
        <v>35</v>
      </c>
      <c r="I34" s="324"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846567.129830075</v>
      </c>
      <c r="L34" s="104" t="n">
        <f aca="false">J34-K34</f>
        <v>959297.870169925</v>
      </c>
      <c r="M34" s="324" t="n">
        <f aca="false">$B$3*I34</f>
        <v>0.1</v>
      </c>
      <c r="N34" s="104" t="n">
        <f aca="false">IF($E34="Yes",$B$2*$B34,0)</f>
        <v>37500</v>
      </c>
      <c r="O34" s="104" t="n">
        <f aca="false">M34*MAX(0,L34)</f>
        <v>95929.7870169925</v>
      </c>
      <c r="P34" s="104" t="n">
        <f aca="false">N34+Q34</f>
        <v>95929.7870169925</v>
      </c>
      <c r="Q34" s="104" t="n">
        <f aca="false">MAX(0,O34-N34)</f>
        <v>58429.7870169925</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IF(Projects!$X$31="Yes",Projects!G31,"No")</f>
        <v>Yes</v>
      </c>
      <c r="F35" s="1" t="str">
        <f aca="false">Projects!M31</f>
        <v>No</v>
      </c>
      <c r="G35" s="9" t="n">
        <f aca="false">C35+D35-1</f>
        <v>53</v>
      </c>
      <c r="H35" s="9" t="n">
        <f aca="false">C35+1</f>
        <v>36</v>
      </c>
      <c r="I35" s="324"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839977.898577359</v>
      </c>
      <c r="L35" s="104" t="n">
        <f aca="false">J35-K35</f>
        <v>1327060.10142264</v>
      </c>
      <c r="M35" s="324" t="n">
        <f aca="false">$B$3*I35</f>
        <v>0.1</v>
      </c>
      <c r="N35" s="104" t="n">
        <f aca="false">IF($E35="Yes",$B$2*$B35,0)</f>
        <v>45000</v>
      </c>
      <c r="O35" s="104" t="n">
        <f aca="false">M35*MAX(0,L35)</f>
        <v>132706.010142264</v>
      </c>
      <c r="P35" s="104" t="n">
        <f aca="false">N35+Q35</f>
        <v>132706.010142264</v>
      </c>
      <c r="Q35" s="104" t="n">
        <f aca="false">MAX(0,O35-N35)</f>
        <v>87706.0101422641</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IF(Projects!$X$32="Yes",Projects!G32,"No")</f>
        <v>Yes</v>
      </c>
      <c r="F36" s="1" t="str">
        <f aca="false">Projects!M32</f>
        <v>No</v>
      </c>
      <c r="G36" s="9" t="n">
        <f aca="false">C36+D36-1</f>
        <v>54</v>
      </c>
      <c r="H36" s="9" t="n">
        <f aca="false">C36+1</f>
        <v>37</v>
      </c>
      <c r="I36" s="324"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837123.743304804</v>
      </c>
      <c r="L36" s="104" t="n">
        <f aca="false">J36-K36</f>
        <v>968741.256695196</v>
      </c>
      <c r="M36" s="324" t="n">
        <f aca="false">$B$3*I36</f>
        <v>0.1</v>
      </c>
      <c r="N36" s="104" t="n">
        <f aca="false">IF($E36="Yes",$B$2*$B36,0)</f>
        <v>37500</v>
      </c>
      <c r="O36" s="104" t="n">
        <f aca="false">M36*MAX(0,L36)</f>
        <v>96874.1256695196</v>
      </c>
      <c r="P36" s="104" t="n">
        <f aca="false">N36+Q36</f>
        <v>96874.1256695196</v>
      </c>
      <c r="Q36" s="104" t="n">
        <f aca="false">MAX(0,O36-N36)</f>
        <v>59374.1256695196</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IF(Projects!$X$33="Yes",Projects!G33,"No")</f>
        <v>Yes</v>
      </c>
      <c r="F37" s="1" t="str">
        <f aca="false">Projects!M33</f>
        <v>No</v>
      </c>
      <c r="G37" s="9" t="n">
        <f aca="false">C37+D37-1</f>
        <v>55</v>
      </c>
      <c r="H37" s="9" t="n">
        <f aca="false">C37+1</f>
        <v>38</v>
      </c>
      <c r="I37" s="324"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834408.633515245</v>
      </c>
      <c r="L37" s="104" t="n">
        <f aca="false">J37-K37</f>
        <v>971456.366484755</v>
      </c>
      <c r="M37" s="324" t="n">
        <f aca="false">$B$3*I37</f>
        <v>0.1</v>
      </c>
      <c r="N37" s="104" t="n">
        <f aca="false">IF($E37="Yes",$B$2*$B37,0)</f>
        <v>37500</v>
      </c>
      <c r="O37" s="104" t="n">
        <f aca="false">M37*MAX(0,L37)</f>
        <v>97145.6366484755</v>
      </c>
      <c r="P37" s="104" t="n">
        <f aca="false">N37+Q37</f>
        <v>97145.6366484755</v>
      </c>
      <c r="Q37" s="104" t="n">
        <f aca="false">MAX(0,O37-N37)</f>
        <v>59645.6366484755</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IF(Projects!$X$34="Yes",Projects!G34,"No")</f>
        <v>Yes</v>
      </c>
      <c r="F38" s="1" t="str">
        <f aca="false">Projects!M34</f>
        <v>Yes</v>
      </c>
      <c r="G38" s="9" t="n">
        <f aca="false">C38+D38-1</f>
        <v>56</v>
      </c>
      <c r="H38" s="9" t="n">
        <f aca="false">C38+1</f>
        <v>39</v>
      </c>
      <c r="I38" s="324"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829028.536706535</v>
      </c>
      <c r="L38" s="104" t="n">
        <f aca="false">J38-K38</f>
        <v>1338009.46329346</v>
      </c>
      <c r="M38" s="324" t="n">
        <f aca="false">$B$3*I38</f>
        <v>0.1</v>
      </c>
      <c r="N38" s="104" t="n">
        <f aca="false">IF($E38="Yes",$B$2*$B38,0)</f>
        <v>45000</v>
      </c>
      <c r="O38" s="104" t="n">
        <f aca="false">M38*MAX(0,L38)</f>
        <v>133800.946329346</v>
      </c>
      <c r="P38" s="104" t="n">
        <f aca="false">N38+Q38</f>
        <v>133800.946329346</v>
      </c>
      <c r="Q38" s="104" t="n">
        <f aca="false">MAX(0,O38-N38)</f>
        <v>88800.9463293465</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IF(Projects!$X$35="Yes",Projects!G35,"No")</f>
        <v>Yes</v>
      </c>
      <c r="F39" s="1" t="str">
        <f aca="false">Projects!M35</f>
        <v>No</v>
      </c>
      <c r="G39" s="9" t="n">
        <f aca="false">C39+D39-1</f>
        <v>57</v>
      </c>
      <c r="H39" s="9" t="n">
        <f aca="false">C39+1</f>
        <v>40</v>
      </c>
      <c r="I39" s="324"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832008.970741294</v>
      </c>
      <c r="L39" s="104" t="n">
        <f aca="false">J39-K39</f>
        <v>973856.029258706</v>
      </c>
      <c r="M39" s="324" t="n">
        <f aca="false">$B$3*I39</f>
        <v>0.1</v>
      </c>
      <c r="N39" s="104" t="n">
        <f aca="false">IF($E39="Yes",$B$2*$B39,0)</f>
        <v>37500</v>
      </c>
      <c r="O39" s="104" t="n">
        <f aca="false">M39*MAX(0,L39)</f>
        <v>97385.6029258706</v>
      </c>
      <c r="P39" s="104" t="n">
        <f aca="false">N39+Q39</f>
        <v>97385.6029258706</v>
      </c>
      <c r="Q39" s="104" t="n">
        <f aca="false">MAX(0,O39-N39)</f>
        <v>59885.6029258706</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IF(Projects!$X$36="Yes",Projects!G36,"No")</f>
        <v>Yes</v>
      </c>
      <c r="F40" s="1" t="str">
        <f aca="false">Projects!M36</f>
        <v>No</v>
      </c>
      <c r="G40" s="9" t="n">
        <f aca="false">C40+D40-1</f>
        <v>61</v>
      </c>
      <c r="H40" s="9" t="n">
        <f aca="false">C40+1</f>
        <v>44</v>
      </c>
      <c r="I40" s="324"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872073.630295335</v>
      </c>
      <c r="L40" s="104" t="n">
        <f aca="false">J40-K40</f>
        <v>1294964.36970466</v>
      </c>
      <c r="M40" s="324" t="n">
        <f aca="false">$B$3*I40</f>
        <v>0.1</v>
      </c>
      <c r="N40" s="104" t="n">
        <f aca="false">IF($E40="Yes",$B$2*$B40,0)</f>
        <v>45000</v>
      </c>
      <c r="O40" s="104" t="n">
        <f aca="false">M40*MAX(0,L40)</f>
        <v>129496.436970466</v>
      </c>
      <c r="P40" s="104" t="n">
        <f aca="false">N40+Q40</f>
        <v>129496.436970466</v>
      </c>
      <c r="Q40" s="104" t="n">
        <f aca="false">MAX(0,O40-N40)</f>
        <v>84496.4369704665</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IF(Projects!$X$37="Yes",Projects!G37,"No")</f>
        <v>Yes</v>
      </c>
      <c r="F41" s="1" t="str">
        <f aca="false">Projects!M37</f>
        <v>No</v>
      </c>
      <c r="G41" s="9" t="n">
        <f aca="false">C41+D41-1</f>
        <v>62</v>
      </c>
      <c r="H41" s="9" t="n">
        <f aca="false">C41+1</f>
        <v>45</v>
      </c>
      <c r="I41" s="324"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885923.124480692</v>
      </c>
      <c r="L41" s="104" t="n">
        <f aca="false">J41-K41</f>
        <v>919941.875519308</v>
      </c>
      <c r="M41" s="324" t="n">
        <f aca="false">$B$3*I41</f>
        <v>0.1</v>
      </c>
      <c r="N41" s="104" t="n">
        <f aca="false">IF($E41="Yes",$B$2*$B41,0)</f>
        <v>37500</v>
      </c>
      <c r="O41" s="104" t="n">
        <f aca="false">M41*MAX(0,L41)</f>
        <v>91994.1875519308</v>
      </c>
      <c r="P41" s="104" t="n">
        <f aca="false">N41+Q41</f>
        <v>91994.1875519308</v>
      </c>
      <c r="Q41" s="104" t="n">
        <f aca="false">MAX(0,O41-N41)</f>
        <v>54494.1875519308</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IF(Projects!$X$38="Yes",Projects!G38,"No")</f>
        <v>Yes</v>
      </c>
      <c r="F42" s="1" t="str">
        <f aca="false">Projects!M38</f>
        <v>No</v>
      </c>
      <c r="G42" s="9" t="n">
        <f aca="false">C42+D42-1</f>
        <v>66</v>
      </c>
      <c r="H42" s="9" t="n">
        <f aca="false">C42+1</f>
        <v>49</v>
      </c>
      <c r="I42" s="324"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922912.267337394</v>
      </c>
      <c r="L42" s="104" t="n">
        <f aca="false">J42-K42</f>
        <v>882952.732662606</v>
      </c>
      <c r="M42" s="324" t="n">
        <f aca="false">$B$3*I42</f>
        <v>0.1</v>
      </c>
      <c r="N42" s="104" t="n">
        <f aca="false">IF($E42="Yes",$B$2*$B42,0)</f>
        <v>37500</v>
      </c>
      <c r="O42" s="104" t="n">
        <f aca="false">M42*MAX(0,L42)</f>
        <v>88295.2732662606</v>
      </c>
      <c r="P42" s="104" t="n">
        <f aca="false">N42+Q42</f>
        <v>88295.2732662606</v>
      </c>
      <c r="Q42" s="104" t="n">
        <f aca="false">MAX(0,O42-N42)</f>
        <v>50795.2732662606</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IF(Projects!$X$39="Yes",Projects!G39,"No")</f>
        <v>Yes</v>
      </c>
      <c r="F43" s="1" t="str">
        <f aca="false">Projects!M39</f>
        <v>No</v>
      </c>
      <c r="G43" s="9" t="n">
        <f aca="false">C43+D43-1</f>
        <v>67</v>
      </c>
      <c r="H43" s="9" t="n">
        <f aca="false">C43+1</f>
        <v>50</v>
      </c>
      <c r="I43" s="324"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934797.999654482</v>
      </c>
      <c r="L43" s="104" t="n">
        <f aca="false">J43-K43</f>
        <v>1232240.00034552</v>
      </c>
      <c r="M43" s="324" t="n">
        <f aca="false">$B$3*I43</f>
        <v>0.1</v>
      </c>
      <c r="N43" s="104" t="n">
        <f aca="false">IF($E43="Yes",$B$2*$B43,0)</f>
        <v>45000</v>
      </c>
      <c r="O43" s="104" t="n">
        <f aca="false">M43*MAX(0,L43)</f>
        <v>123224.000034552</v>
      </c>
      <c r="P43" s="104" t="n">
        <f aca="false">N43+Q43</f>
        <v>123224.000034552</v>
      </c>
      <c r="Q43" s="104" t="n">
        <f aca="false">MAX(0,O43-N43)</f>
        <v>78224.0000345518</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IF(Projects!$X$40="Yes",Projects!G40,"No")</f>
        <v>Yes</v>
      </c>
      <c r="F44" s="1" t="str">
        <f aca="false">Projects!M40</f>
        <v>Yes</v>
      </c>
      <c r="G44" s="9" t="n">
        <f aca="false">C44+D44-1</f>
        <v>68</v>
      </c>
      <c r="H44" s="9" t="n">
        <f aca="false">C44+1</f>
        <v>51</v>
      </c>
      <c r="I44" s="324"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953357.493068381</v>
      </c>
      <c r="L44" s="104" t="n">
        <f aca="false">J44-K44</f>
        <v>852507.506931619</v>
      </c>
      <c r="M44" s="324" t="n">
        <f aca="false">$B$3*I44</f>
        <v>0.1</v>
      </c>
      <c r="N44" s="104" t="n">
        <f aca="false">IF($E44="Yes",$B$2*$B44,0)</f>
        <v>37500</v>
      </c>
      <c r="O44" s="104" t="n">
        <f aca="false">M44*MAX(0,L44)</f>
        <v>85250.7506931619</v>
      </c>
      <c r="P44" s="104" t="n">
        <f aca="false">N44+Q44</f>
        <v>85250.7506931619</v>
      </c>
      <c r="Q44" s="104" t="n">
        <f aca="false">MAX(0,O44-N44)</f>
        <v>47750.7506931619</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IF(Projects!$X$41="Yes",Projects!G41,"No")</f>
        <v>Yes</v>
      </c>
      <c r="F45" s="1" t="str">
        <f aca="false">Projects!M41</f>
        <v>No</v>
      </c>
      <c r="G45" s="9" t="n">
        <f aca="false">C45+D45-1</f>
        <v>69</v>
      </c>
      <c r="H45" s="9" t="n">
        <f aca="false">C45+1</f>
        <v>52</v>
      </c>
      <c r="I45" s="324"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980127.362124673</v>
      </c>
      <c r="L45" s="104" t="n">
        <f aca="false">J45-K45</f>
        <v>825737.637875327</v>
      </c>
      <c r="M45" s="324" t="n">
        <f aca="false">$B$3*I45</f>
        <v>0.1</v>
      </c>
      <c r="N45" s="104" t="n">
        <f aca="false">IF($E45="Yes",$B$2*$B45,0)</f>
        <v>37500</v>
      </c>
      <c r="O45" s="104" t="n">
        <f aca="false">M45*MAX(0,L45)</f>
        <v>82573.7637875327</v>
      </c>
      <c r="P45" s="104" t="n">
        <f aca="false">N45+Q45</f>
        <v>82573.7637875327</v>
      </c>
      <c r="Q45" s="104" t="n">
        <f aca="false">MAX(0,O45-N45)</f>
        <v>45073.7637875327</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IF(Projects!$X$42="Yes",Projects!G42,"No")</f>
        <v>Yes</v>
      </c>
      <c r="F46" s="1" t="str">
        <f aca="false">Projects!M42</f>
        <v>No</v>
      </c>
      <c r="G46" s="9" t="n">
        <f aca="false">C46+D46-1</f>
        <v>70</v>
      </c>
      <c r="H46" s="9" t="n">
        <f aca="false">C46+1</f>
        <v>53</v>
      </c>
      <c r="I46" s="324"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1019483.95951284</v>
      </c>
      <c r="L46" s="104" t="n">
        <f aca="false">J46-K46</f>
        <v>1147554.04048716</v>
      </c>
      <c r="M46" s="324" t="n">
        <f aca="false">$B$3*I46</f>
        <v>0.1</v>
      </c>
      <c r="N46" s="104" t="n">
        <f aca="false">IF($E46="Yes",$B$2*$B46,0)</f>
        <v>45000</v>
      </c>
      <c r="O46" s="104" t="n">
        <f aca="false">M46*MAX(0,L46)</f>
        <v>114755.404048716</v>
      </c>
      <c r="P46" s="104" t="n">
        <f aca="false">N46+Q46</f>
        <v>114755.404048716</v>
      </c>
      <c r="Q46" s="104" t="n">
        <f aca="false">MAX(0,O46-N46)</f>
        <v>69755.4040487163</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IF(Projects!$X$43="Yes",Projects!G43,"No")</f>
        <v>Yes</v>
      </c>
      <c r="F47" s="1" t="str">
        <f aca="false">Projects!M43</f>
        <v>No</v>
      </c>
      <c r="G47" s="9" t="n">
        <f aca="false">C47+D47-1</f>
        <v>71</v>
      </c>
      <c r="H47" s="9" t="n">
        <f aca="false">C47+1</f>
        <v>54</v>
      </c>
      <c r="I47" s="324"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1080029.9118539</v>
      </c>
      <c r="L47" s="104" t="n">
        <f aca="false">J47-K47</f>
        <v>725835.088146097</v>
      </c>
      <c r="M47" s="324" t="n">
        <f aca="false">$B$3*I47</f>
        <v>0.1</v>
      </c>
      <c r="N47" s="104" t="n">
        <f aca="false">IF($E47="Yes",$B$2*$B47,0)</f>
        <v>37500</v>
      </c>
      <c r="O47" s="104" t="n">
        <f aca="false">M47*MAX(0,L47)</f>
        <v>72583.5088146097</v>
      </c>
      <c r="P47" s="104" t="n">
        <f aca="false">N47+Q47</f>
        <v>72583.5088146097</v>
      </c>
      <c r="Q47" s="104" t="n">
        <f aca="false">MAX(0,O47-N47)</f>
        <v>35083.5088146097</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IF(Projects!$X$44="Yes",Projects!G44,"No")</f>
        <v>Yes</v>
      </c>
      <c r="F48" s="1" t="str">
        <f aca="false">Projects!M44</f>
        <v>No</v>
      </c>
      <c r="G48" s="9" t="n">
        <f aca="false">C48+D48-1</f>
        <v>72</v>
      </c>
      <c r="H48" s="9" t="n">
        <f aca="false">C48+1</f>
        <v>55</v>
      </c>
      <c r="I48" s="324"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1174746.76713845</v>
      </c>
      <c r="L48" s="104" t="n">
        <f aca="false">J48-K48</f>
        <v>631118.232861546</v>
      </c>
      <c r="M48" s="324" t="n">
        <f aca="false">$B$3*I48</f>
        <v>0.1</v>
      </c>
      <c r="N48" s="104" t="n">
        <f aca="false">IF($E48="Yes",$B$2*$B48,0)</f>
        <v>37500</v>
      </c>
      <c r="O48" s="104" t="n">
        <f aca="false">M48*MAX(0,L48)</f>
        <v>63111.8232861546</v>
      </c>
      <c r="P48" s="104" t="n">
        <f aca="false">N48+Q48</f>
        <v>63111.8232861546</v>
      </c>
      <c r="Q48" s="104" t="n">
        <f aca="false">MAX(0,O48-N48)</f>
        <v>25611.8232861546</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IF(Projects!$X$45="Yes",Projects!G45,"No")</f>
        <v>Yes</v>
      </c>
      <c r="F49" s="1" t="str">
        <f aca="false">Projects!M45</f>
        <v>No</v>
      </c>
      <c r="G49" s="9" t="n">
        <f aca="false">C49+D49-1</f>
        <v>73</v>
      </c>
      <c r="H49" s="9" t="n">
        <f aca="false">C49+1</f>
        <v>56</v>
      </c>
      <c r="I49" s="324"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1341755.93666319</v>
      </c>
      <c r="L49" s="104" t="n">
        <f aca="false">J49-K49</f>
        <v>825282.063336811</v>
      </c>
      <c r="M49" s="324" t="n">
        <f aca="false">$B$3*I49</f>
        <v>0.1</v>
      </c>
      <c r="N49" s="104" t="n">
        <f aca="false">IF($E49="Yes",$B$2*$B49,0)</f>
        <v>45000</v>
      </c>
      <c r="O49" s="104" t="n">
        <f aca="false">M49*MAX(0,L49)</f>
        <v>82528.2063336811</v>
      </c>
      <c r="P49" s="104" t="n">
        <f aca="false">N49+Q49</f>
        <v>82528.2063336811</v>
      </c>
      <c r="Q49" s="104" t="n">
        <f aca="false">MAX(0,O49-N49)</f>
        <v>37528.2063336811</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IF(Projects!$X$46="Yes",Projects!G46,"No")</f>
        <v>Yes</v>
      </c>
      <c r="F50" s="1" t="str">
        <f aca="false">Projects!M46</f>
        <v>Yes</v>
      </c>
      <c r="G50" s="9" t="n">
        <f aca="false">C50+D50-1</f>
        <v>74</v>
      </c>
      <c r="H50" s="9" t="n">
        <f aca="false">C50+1</f>
        <v>57</v>
      </c>
      <c r="I50" s="324"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1717741.03220204</v>
      </c>
      <c r="L50" s="104" t="n">
        <f aca="false">J50-K50</f>
        <v>88123.9677979569</v>
      </c>
      <c r="M50" s="324" t="n">
        <f aca="false">$B$3*I50</f>
        <v>0.025</v>
      </c>
      <c r="N50" s="104" t="n">
        <f aca="false">IF($E50="Yes",$B$2*$B50,0)</f>
        <v>37500</v>
      </c>
      <c r="O50" s="104" t="n">
        <f aca="false">M50*MAX(0,L50)</f>
        <v>2203.09919494892</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1112</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45000</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37500</v>
      </c>
      <c r="AN53" s="104" t="n">
        <f aca="false">SUMPRODUCT(($H$21:$H$50=AN$15)*$N$21:$N$50)+SUMPRODUCT(($G$21:$G$50=AN$15)*$Q$21:$Q$50)</f>
        <v>37500</v>
      </c>
      <c r="AO53" s="104" t="n">
        <f aca="false">SUMPRODUCT(($H$21:$H$50=AO$15)*$N$21:$N$50)+SUMPRODUCT(($G$21:$G$50=AO$15)*$Q$21:$Q$50)</f>
        <v>45000</v>
      </c>
      <c r="AP53" s="104" t="n">
        <f aca="false">SUMPRODUCT(($H$21:$H$50=AP$15)*$N$21:$N$50)+SUMPRODUCT(($G$21:$G$50=AP$15)*$Q$21:$Q$50)</f>
        <v>37500</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80720.9288328144</v>
      </c>
      <c r="AV53" s="104" t="n">
        <f aca="false">SUMPRODUCT(($H$21:$H$50=AV$15)*$N$21:$N$50)+SUMPRODUCT(($G$21:$G$50=AV$15)*$Q$21:$Q$50)</f>
        <v>124797.078985337</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83004.1585784149</v>
      </c>
      <c r="BA53" s="104" t="n">
        <f aca="false">SUMPRODUCT(($H$21:$H$50=BA$15)*$N$21:$N$50)+SUMPRODUCT(($G$21:$G$50=BA$15)*$Q$21:$Q$50)</f>
        <v>83879.7210477828</v>
      </c>
      <c r="BB53" s="104" t="n">
        <f aca="false">SUMPRODUCT(($H$21:$H$50=BB$15)*$N$21:$N$50)+SUMPRODUCT(($G$21:$G$50=BB$15)*$Q$21:$Q$50)</f>
        <v>93464.7654686071</v>
      </c>
      <c r="BC53" s="104" t="n">
        <f aca="false">SUMPRODUCT(($H$21:$H$50=BC$15)*$N$21:$N$50)+SUMPRODUCT(($G$21:$G$50=BC$15)*$Q$21:$Q$50)</f>
        <v>101739.204014748</v>
      </c>
      <c r="BD53" s="104" t="n">
        <f aca="false">SUMPRODUCT(($H$21:$H$50=BD$15)*$N$21:$N$50)+SUMPRODUCT(($G$21:$G$50=BD$15)*$Q$21:$Q$50)</f>
        <v>94829.4458213381</v>
      </c>
      <c r="BE53" s="104" t="n">
        <f aca="false">SUMPRODUCT(($H$21:$H$50=BE$15)*$N$21:$N$50)+SUMPRODUCT(($G$21:$G$50=BE$15)*$Q$21:$Q$50)</f>
        <v>95929.7870169925</v>
      </c>
      <c r="BF53" s="104" t="n">
        <f aca="false">SUMPRODUCT(($H$21:$H$50=BF$15)*$N$21:$N$50)+SUMPRODUCT(($G$21:$G$50=BF$15)*$Q$21:$Q$50)</f>
        <v>132706.010142264</v>
      </c>
      <c r="BG53" s="104" t="n">
        <f aca="false">SUMPRODUCT(($H$21:$H$50=BG$15)*$N$21:$N$50)+SUMPRODUCT(($G$21:$G$50=BG$15)*$Q$21:$Q$50)</f>
        <v>96874.1256695196</v>
      </c>
      <c r="BH53" s="104" t="n">
        <f aca="false">SUMPRODUCT(($H$21:$H$50=BH$15)*$N$21:$N$50)+SUMPRODUCT(($G$21:$G$50=BH$15)*$Q$21:$Q$50)</f>
        <v>97145.6366484755</v>
      </c>
      <c r="BI53" s="104" t="n">
        <f aca="false">SUMPRODUCT(($H$21:$H$50=BI$15)*$N$21:$N$50)+SUMPRODUCT(($G$21:$G$50=BI$15)*$Q$21:$Q$50)</f>
        <v>133800.946329346</v>
      </c>
      <c r="BJ53" s="104" t="n">
        <f aca="false">SUMPRODUCT(($H$21:$H$50=BJ$15)*$N$21:$N$50)+SUMPRODUCT(($G$21:$G$50=BJ$15)*$Q$21:$Q$50)</f>
        <v>97385.6029258706</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84496.4369704665</v>
      </c>
      <c r="BO53" s="104" t="n">
        <f aca="false">SUMPRODUCT(($H$21:$H$50=BO$15)*$N$21:$N$50)+SUMPRODUCT(($G$21:$G$50=BO$15)*$Q$21:$Q$50)</f>
        <v>54494.1875519308</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50795.2732662606</v>
      </c>
      <c r="BT53" s="104" t="n">
        <f aca="false">SUMPRODUCT(($H$21:$H$50=BT$15)*$N$21:$N$50)+SUMPRODUCT(($G$21:$G$50=BT$15)*$Q$21:$Q$50)</f>
        <v>78224.0000345518</v>
      </c>
      <c r="BU53" s="104" t="n">
        <f aca="false">SUMPRODUCT(($H$21:$H$50=BU$15)*$N$21:$N$50)+SUMPRODUCT(($G$21:$G$50=BU$15)*$Q$21:$Q$50)</f>
        <v>47750.7506931619</v>
      </c>
      <c r="BV53" s="104" t="n">
        <f aca="false">SUMPRODUCT(($H$21:$H$50=BV$15)*$N$21:$N$50)+SUMPRODUCT(($G$21:$G$50=BV$15)*$Q$21:$Q$50)</f>
        <v>45073.7637875327</v>
      </c>
      <c r="BW53" s="104" t="n">
        <f aca="false">SUMPRODUCT(($H$21:$H$50=BW$15)*$N$21:$N$50)+SUMPRODUCT(($G$21:$G$50=BW$15)*$Q$21:$Q$50)</f>
        <v>69755.4040487163</v>
      </c>
      <c r="BX53" s="104" t="n">
        <f aca="false">SUMPRODUCT(($H$21:$H$50=BX$15)*$N$21:$N$50)+SUMPRODUCT(($G$21:$G$50=BX$15)*$Q$21:$Q$50)</f>
        <v>35083.5088146097</v>
      </c>
      <c r="BY53" s="104" t="n">
        <f aca="false">SUMPRODUCT(($H$21:$H$50=BY$15)*$N$21:$N$50)+SUMPRODUCT(($G$21:$G$50=BY$15)*$Q$21:$Q$50)</f>
        <v>25611.8232861546</v>
      </c>
      <c r="BZ53" s="104" t="n">
        <f aca="false">SUMPRODUCT(($H$21:$H$50=BZ$15)*$N$21:$N$50)+SUMPRODUCT(($G$21:$G$50=BZ$15)*$Q$21:$Q$50)</f>
        <v>37528.2063336811</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226562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561</v>
      </c>
      <c r="B1" s="330" t="s">
        <v>1113</v>
      </c>
      <c r="C1" s="330" t="s">
        <v>1114</v>
      </c>
      <c r="D1" s="330" t="s">
        <v>1115</v>
      </c>
      <c r="E1" s="330" t="s">
        <v>1116</v>
      </c>
      <c r="F1" s="330" t="s">
        <v>1117</v>
      </c>
      <c r="G1" s="330" t="s">
        <v>1118</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1119</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1120</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1121</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3012944.96485678</v>
      </c>
      <c r="D18" s="332" t="n">
        <f aca="false">C18*0.05</f>
        <v>150647.248242839</v>
      </c>
      <c r="E18" s="332" t="n">
        <f aca="false">B18+D18</f>
        <v>150647.248242839</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35</v>
      </c>
      <c r="G21" s="334" t="n">
        <f aca="false">EDATE(DATE(2026,4,1),F21-1)</f>
        <v>47150</v>
      </c>
    </row>
    <row r="22" customFormat="false" ht="15" hidden="false" customHeight="true" outlineLevel="0" collapsed="false">
      <c r="A22" s="175" t="s">
        <v>27</v>
      </c>
      <c r="B22" s="176" t="n">
        <v>0</v>
      </c>
      <c r="C22" s="332" t="n">
        <f aca="false">IF(Projects!$G$24="Yes",Projects!$B$24*(Assumptions!$B$10+Assumptions!$B$11+Assumptions!$B$12),0)</f>
        <v>2167038</v>
      </c>
      <c r="D22" s="332" t="n">
        <f aca="false">C22*0.05</f>
        <v>108351.9</v>
      </c>
      <c r="E22" s="332" t="n">
        <f aca="false">B22+D22</f>
        <v>108351.9</v>
      </c>
      <c r="F22" s="333" t="n">
        <f aca="false">Projects!$C$24+Projects!$D$24-1</f>
        <v>42</v>
      </c>
      <c r="G22" s="334" t="n">
        <f aca="false">EDATE(DATE(2026,4,1),F22-1)</f>
        <v>47362</v>
      </c>
    </row>
    <row r="23" customFormat="false" ht="15" hidden="false" customHeight="true" outlineLevel="0" collapsed="false">
      <c r="A23" s="175" t="s">
        <v>28</v>
      </c>
      <c r="B23" s="176" t="n">
        <v>0</v>
      </c>
      <c r="C23" s="332" t="n">
        <f aca="false">IF(Projects!$G$25="Yes",Projects!$B$25*(Assumptions!$B$10+Assumptions!$B$11+Assumptions!$B$12),0)</f>
        <v>2167038</v>
      </c>
      <c r="D23" s="332" t="n">
        <f aca="false">C23*0.05</f>
        <v>108351.9</v>
      </c>
      <c r="E23" s="332" t="n">
        <f aca="false">B23+D23</f>
        <v>108351.9</v>
      </c>
      <c r="F23" s="333" t="n">
        <f aca="false">Projects!$C$25+Projects!$D$25-1</f>
        <v>47</v>
      </c>
      <c r="G23" s="334" t="n">
        <f aca="false">EDATE(DATE(2026,4,1),F23-1)</f>
        <v>47515</v>
      </c>
    </row>
    <row r="24" customFormat="false" ht="15" hidden="false" customHeight="true" outlineLevel="0" collapsed="false">
      <c r="A24" s="175" t="s">
        <v>29</v>
      </c>
      <c r="B24" s="176" t="n">
        <v>0</v>
      </c>
      <c r="C24" s="332" t="n">
        <f aca="false">IF(Projects!$G$26="Yes",Projects!$B$26*(Assumptions!$B$10+Assumptions!$B$11+Assumptions!$B$12),0)</f>
        <v>2167038</v>
      </c>
      <c r="D24" s="332" t="n">
        <f aca="false">C24*0.05</f>
        <v>108351.9</v>
      </c>
      <c r="E24" s="332" t="n">
        <f aca="false">B24+D24</f>
        <v>108351.9</v>
      </c>
      <c r="F24" s="333" t="n">
        <f aca="false">Projects!$C$26+Projects!$D$26-1</f>
        <v>48</v>
      </c>
      <c r="G24" s="334" t="n">
        <f aca="false">EDATE(DATE(2026,4,1),F24-1)</f>
        <v>47543</v>
      </c>
    </row>
    <row r="25" customFormat="false" ht="15" hidden="false" customHeight="true" outlineLevel="0" collapsed="false">
      <c r="A25" s="175" t="s">
        <v>30</v>
      </c>
      <c r="B25" s="176" t="n">
        <v>0</v>
      </c>
      <c r="C25" s="332" t="n">
        <f aca="false">IF(Projects!$G$27="Yes",Projects!$B$27*(Assumptions!$B$10+Assumptions!$B$11+Assumptions!$B$12),0)</f>
        <v>1805865</v>
      </c>
      <c r="D25" s="332" t="n">
        <f aca="false">C25*0.05</f>
        <v>90293.25</v>
      </c>
      <c r="E25" s="332" t="n">
        <f aca="false">B25+D25</f>
        <v>90293.25</v>
      </c>
      <c r="F25" s="333" t="n">
        <f aca="false">Projects!$C$27+Projects!$D$27-1</f>
        <v>49</v>
      </c>
      <c r="G25" s="334" t="n">
        <f aca="false">EDATE(DATE(2026,4,1),F25-1)</f>
        <v>47574</v>
      </c>
    </row>
    <row r="26" customFormat="false" ht="15" hidden="false" customHeight="true" outlineLevel="0" collapsed="false">
      <c r="A26" s="175" t="s">
        <v>31</v>
      </c>
      <c r="B26" s="176" t="n">
        <v>0</v>
      </c>
      <c r="C26" s="332" t="n">
        <f aca="false">IF(Projects!$G$28="Yes",Projects!$B$28*(Assumptions!$B$10+Assumptions!$B$11+Assumptions!$B$12),0)</f>
        <v>1805865</v>
      </c>
      <c r="D26" s="332" t="n">
        <f aca="false">C26*0.05</f>
        <v>90293.25</v>
      </c>
      <c r="E26" s="332" t="n">
        <f aca="false">B26+D26</f>
        <v>90293.25</v>
      </c>
      <c r="F26" s="333" t="n">
        <f aca="false">Projects!$C$28+Projects!$D$28-1</f>
        <v>50</v>
      </c>
      <c r="G26" s="334" t="n">
        <f aca="false">EDATE(DATE(2026,4,1),F26-1)</f>
        <v>47604</v>
      </c>
    </row>
    <row r="27" customFormat="false" ht="15" hidden="false" customHeight="true" outlineLevel="0" collapsed="false">
      <c r="A27" s="175" t="s">
        <v>32</v>
      </c>
      <c r="B27" s="176" t="n">
        <v>0</v>
      </c>
      <c r="C27" s="332" t="n">
        <f aca="false">IF(Projects!$G$29="Yes",Projects!$B$29*(Assumptions!$B$10+Assumptions!$B$11+Assumptions!$B$12),0)</f>
        <v>1805865</v>
      </c>
      <c r="D27" s="332" t="n">
        <f aca="false">C27*0.05</f>
        <v>90293.25</v>
      </c>
      <c r="E27" s="332" t="n">
        <f aca="false">B27+D27</f>
        <v>90293.25</v>
      </c>
      <c r="F27" s="333" t="n">
        <f aca="false">Projects!$C$29+Projects!$D$29-1</f>
        <v>51</v>
      </c>
      <c r="G27" s="334" t="n">
        <f aca="false">EDATE(DATE(2026,4,1),F27-1)</f>
        <v>47635</v>
      </c>
    </row>
    <row r="28" customFormat="false" ht="15" hidden="false" customHeight="true" outlineLevel="0" collapsed="false">
      <c r="A28" s="175" t="s">
        <v>33</v>
      </c>
      <c r="B28" s="176" t="n">
        <v>0</v>
      </c>
      <c r="C28" s="332" t="n">
        <f aca="false">IF(Projects!$G$30="Yes",Projects!$B$30*(Assumptions!$B$10+Assumptions!$B$11+Assumptions!$B$12),0)</f>
        <v>1805865</v>
      </c>
      <c r="D28" s="332" t="n">
        <f aca="false">C28*0.05</f>
        <v>90293.25</v>
      </c>
      <c r="E28" s="332" t="n">
        <f aca="false">B28+D28</f>
        <v>90293.25</v>
      </c>
      <c r="F28" s="333" t="n">
        <f aca="false">Projects!$C$30+Projects!$D$30-1</f>
        <v>52</v>
      </c>
      <c r="G28" s="334" t="n">
        <f aca="false">EDATE(DATE(2026,4,1),F28-1)</f>
        <v>47665</v>
      </c>
    </row>
    <row r="29" customFormat="false" ht="15" hidden="false" customHeight="true" outlineLevel="0" collapsed="false">
      <c r="A29" s="175" t="s">
        <v>34</v>
      </c>
      <c r="B29" s="176" t="n">
        <v>0</v>
      </c>
      <c r="C29" s="332" t="n">
        <f aca="false">IF(Projects!$G$31="Yes",Projects!$B$31*(Assumptions!$B$10+Assumptions!$B$11+Assumptions!$B$12),0)</f>
        <v>2167038</v>
      </c>
      <c r="D29" s="332" t="n">
        <f aca="false">C29*0.05</f>
        <v>108351.9</v>
      </c>
      <c r="E29" s="332" t="n">
        <f aca="false">B29+D29</f>
        <v>108351.9</v>
      </c>
      <c r="F29" s="333" t="n">
        <f aca="false">Projects!$C$31+Projects!$D$31-1</f>
        <v>53</v>
      </c>
      <c r="G29" s="334" t="n">
        <f aca="false">EDATE(DATE(2026,4,1),F29-1)</f>
        <v>47696</v>
      </c>
    </row>
    <row r="30" customFormat="false" ht="15" hidden="false" customHeight="true" outlineLevel="0" collapsed="false">
      <c r="A30" s="175" t="s">
        <v>35</v>
      </c>
      <c r="B30" s="176" t="n">
        <v>0</v>
      </c>
      <c r="C30" s="332" t="n">
        <f aca="false">IF(Projects!$G$32="Yes",Projects!$B$32*(Assumptions!$B$10+Assumptions!$B$11+Assumptions!$B$12),0)</f>
        <v>1805865</v>
      </c>
      <c r="D30" s="332" t="n">
        <f aca="false">C30*0.05</f>
        <v>90293.25</v>
      </c>
      <c r="E30" s="332" t="n">
        <f aca="false">B30+D30</f>
        <v>90293.25</v>
      </c>
      <c r="F30" s="333" t="n">
        <f aca="false">Projects!$C$32+Projects!$D$32-1</f>
        <v>54</v>
      </c>
      <c r="G30" s="334" t="n">
        <f aca="false">EDATE(DATE(2026,4,1),F30-1)</f>
        <v>47727</v>
      </c>
    </row>
    <row r="31" customFormat="false" ht="15" hidden="false" customHeight="true" outlineLevel="0" collapsed="false">
      <c r="A31" s="175" t="s">
        <v>36</v>
      </c>
      <c r="B31" s="176" t="n">
        <v>0</v>
      </c>
      <c r="C31" s="332" t="n">
        <f aca="false">IF(Projects!$G$33="Yes",Projects!$B$33*(Assumptions!$B$10+Assumptions!$B$11+Assumptions!$B$12),0)</f>
        <v>1805865</v>
      </c>
      <c r="D31" s="332" t="n">
        <f aca="false">C31*0.05</f>
        <v>90293.25</v>
      </c>
      <c r="E31" s="332" t="n">
        <f aca="false">B31+D31</f>
        <v>90293.25</v>
      </c>
      <c r="F31" s="333" t="n">
        <f aca="false">Projects!$C$33+Projects!$D$33-1</f>
        <v>55</v>
      </c>
      <c r="G31" s="334" t="n">
        <f aca="false">EDATE(DATE(2026,4,1),F31-1)</f>
        <v>47757</v>
      </c>
    </row>
    <row r="32" customFormat="false" ht="15" hidden="false" customHeight="true" outlineLevel="0" collapsed="false">
      <c r="A32" s="175" t="s">
        <v>37</v>
      </c>
      <c r="B32" s="176" t="n">
        <v>0</v>
      </c>
      <c r="C32" s="332" t="n">
        <f aca="false">IF(Projects!$G$34="Yes",Projects!$B$34*(Assumptions!$B$10+Assumptions!$B$11+Assumptions!$B$12),0)</f>
        <v>2167038</v>
      </c>
      <c r="D32" s="332" t="n">
        <f aca="false">C32*0.05</f>
        <v>108351.9</v>
      </c>
      <c r="E32" s="332" t="n">
        <f aca="false">B32+D32</f>
        <v>108351.9</v>
      </c>
      <c r="F32" s="333" t="n">
        <f aca="false">Projects!$C$34+Projects!$D$34-1</f>
        <v>56</v>
      </c>
      <c r="G32" s="334" t="n">
        <f aca="false">EDATE(DATE(2026,4,1),F32-1)</f>
        <v>47788</v>
      </c>
    </row>
    <row r="33" customFormat="false" ht="15" hidden="false" customHeight="true" outlineLevel="0" collapsed="false">
      <c r="A33" s="175" t="s">
        <v>38</v>
      </c>
      <c r="B33" s="176" t="n">
        <v>0</v>
      </c>
      <c r="C33" s="332" t="n">
        <f aca="false">IF(Projects!$G$35="Yes",Projects!$B$35*(Assumptions!$B$10+Assumptions!$B$11+Assumptions!$B$12),0)</f>
        <v>1805865</v>
      </c>
      <c r="D33" s="332" t="n">
        <f aca="false">C33*0.05</f>
        <v>90293.25</v>
      </c>
      <c r="E33" s="332" t="n">
        <f aca="false">B33+D33</f>
        <v>90293.25</v>
      </c>
      <c r="F33" s="333" t="n">
        <f aca="false">Projects!$C$35+Projects!$D$35-1</f>
        <v>57</v>
      </c>
      <c r="G33" s="334" t="n">
        <f aca="false">EDATE(DATE(2026,4,1),F33-1)</f>
        <v>47818</v>
      </c>
    </row>
    <row r="34" customFormat="false" ht="15" hidden="false" customHeight="true" outlineLevel="0" collapsed="false">
      <c r="A34" s="175" t="s">
        <v>39</v>
      </c>
      <c r="B34" s="176" t="n">
        <v>0</v>
      </c>
      <c r="C34" s="332" t="n">
        <f aca="false">IF(Projects!$G$36="Yes",Projects!$B$36*(Assumptions!$B$10+Assumptions!$B$11+Assumptions!$B$12),0)</f>
        <v>2167038</v>
      </c>
      <c r="D34" s="332" t="n">
        <f aca="false">C34*0.05</f>
        <v>108351.9</v>
      </c>
      <c r="E34" s="332" t="n">
        <f aca="false">B34+D34</f>
        <v>108351.9</v>
      </c>
      <c r="F34" s="333" t="n">
        <f aca="false">Projects!$C$36+Projects!$D$36-1</f>
        <v>61</v>
      </c>
      <c r="G34" s="334" t="n">
        <f aca="false">EDATE(DATE(2026,4,1),F34-1)</f>
        <v>47939</v>
      </c>
    </row>
    <row r="35" customFormat="false" ht="15" hidden="false" customHeight="true" outlineLevel="0" collapsed="false">
      <c r="A35" s="175" t="s">
        <v>40</v>
      </c>
      <c r="B35" s="176" t="n">
        <v>0</v>
      </c>
      <c r="C35" s="332" t="n">
        <f aca="false">IF(Projects!$G$37="Yes",Projects!$B$37*(Assumptions!$B$10+Assumptions!$B$11+Assumptions!$B$12),0)</f>
        <v>1805865</v>
      </c>
      <c r="D35" s="332" t="n">
        <f aca="false">C35*0.05</f>
        <v>90293.25</v>
      </c>
      <c r="E35" s="332" t="n">
        <f aca="false">B35+D35</f>
        <v>90293.25</v>
      </c>
      <c r="F35" s="333" t="n">
        <f aca="false">Projects!$C$37+Projects!$D$37-1</f>
        <v>62</v>
      </c>
      <c r="G35" s="334" t="n">
        <f aca="false">EDATE(DATE(2026,4,1),F35-1)</f>
        <v>47969</v>
      </c>
    </row>
    <row r="36" customFormat="false" ht="15" hidden="false" customHeight="true" outlineLevel="0" collapsed="false">
      <c r="A36" s="175" t="s">
        <v>41</v>
      </c>
      <c r="B36" s="176" t="n">
        <v>0</v>
      </c>
      <c r="C36" s="332" t="n">
        <f aca="false">IF(Projects!$G$38="Yes",Projects!$B$38*(Assumptions!$B$10+Assumptions!$B$11+Assumptions!$B$12),0)</f>
        <v>1805865</v>
      </c>
      <c r="D36" s="332" t="n">
        <f aca="false">C36*0.05</f>
        <v>90293.25</v>
      </c>
      <c r="E36" s="332" t="n">
        <f aca="false">B36+D36</f>
        <v>90293.25</v>
      </c>
      <c r="F36" s="333" t="n">
        <f aca="false">Projects!$C$38+Projects!$D$38-1</f>
        <v>66</v>
      </c>
      <c r="G36" s="334" t="n">
        <f aca="false">EDATE(DATE(2026,4,1),F36-1)</f>
        <v>48092</v>
      </c>
    </row>
    <row r="37" customFormat="false" ht="15" hidden="false" customHeight="true" outlineLevel="0" collapsed="false">
      <c r="A37" s="175" t="s">
        <v>42</v>
      </c>
      <c r="B37" s="176" t="n">
        <v>0</v>
      </c>
      <c r="C37" s="332" t="n">
        <f aca="false">IF(Projects!$G$39="Yes",Projects!$B$39*(Assumptions!$B$10+Assumptions!$B$11+Assumptions!$B$12),0)</f>
        <v>2167038</v>
      </c>
      <c r="D37" s="332" t="n">
        <f aca="false">C37*0.05</f>
        <v>108351.9</v>
      </c>
      <c r="E37" s="332" t="n">
        <f aca="false">B37+D37</f>
        <v>108351.9</v>
      </c>
      <c r="F37" s="333" t="n">
        <f aca="false">Projects!$C$39+Projects!$D$39-1</f>
        <v>67</v>
      </c>
      <c r="G37" s="334" t="n">
        <f aca="false">EDATE(DATE(2026,4,1),F37-1)</f>
        <v>48122</v>
      </c>
    </row>
    <row r="38" customFormat="false" ht="15" hidden="false" customHeight="true" outlineLevel="0" collapsed="false">
      <c r="A38" s="175" t="s">
        <v>43</v>
      </c>
      <c r="B38" s="176" t="n">
        <v>0</v>
      </c>
      <c r="C38" s="332" t="n">
        <f aca="false">IF(Projects!$G$40="Yes",Projects!$B$40*(Assumptions!$B$10+Assumptions!$B$11+Assumptions!$B$12),0)</f>
        <v>1805865</v>
      </c>
      <c r="D38" s="332" t="n">
        <f aca="false">C38*0.05</f>
        <v>90293.25</v>
      </c>
      <c r="E38" s="332" t="n">
        <f aca="false">B38+D38</f>
        <v>90293.25</v>
      </c>
      <c r="F38" s="333" t="n">
        <f aca="false">Projects!$C$40+Projects!$D$40-1</f>
        <v>68</v>
      </c>
      <c r="G38" s="334" t="n">
        <f aca="false">EDATE(DATE(2026,4,1),F38-1)</f>
        <v>48153</v>
      </c>
    </row>
    <row r="39" customFormat="false" ht="15" hidden="false" customHeight="true" outlineLevel="0" collapsed="false">
      <c r="A39" s="175" t="s">
        <v>44</v>
      </c>
      <c r="B39" s="176" t="n">
        <v>0</v>
      </c>
      <c r="C39" s="332" t="n">
        <f aca="false">IF(Projects!$G$41="Yes",Projects!$B$41*(Assumptions!$B$10+Assumptions!$B$11+Assumptions!$B$12),0)</f>
        <v>1805865</v>
      </c>
      <c r="D39" s="332" t="n">
        <f aca="false">C39*0.05</f>
        <v>90293.25</v>
      </c>
      <c r="E39" s="332" t="n">
        <f aca="false">B39+D39</f>
        <v>90293.25</v>
      </c>
      <c r="F39" s="333" t="n">
        <f aca="false">Projects!$C$41+Projects!$D$41-1</f>
        <v>69</v>
      </c>
      <c r="G39" s="334" t="n">
        <f aca="false">EDATE(DATE(2026,4,1),F39-1)</f>
        <v>48183</v>
      </c>
    </row>
    <row r="40" customFormat="false" ht="15" hidden="false" customHeight="true" outlineLevel="0" collapsed="false">
      <c r="A40" s="175" t="s">
        <v>45</v>
      </c>
      <c r="B40" s="176" t="n">
        <v>0</v>
      </c>
      <c r="C40" s="332" t="n">
        <f aca="false">IF(Projects!$G$42="Yes",Projects!$B$42*(Assumptions!$B$10+Assumptions!$B$11+Assumptions!$B$12),0)</f>
        <v>2167038</v>
      </c>
      <c r="D40" s="332" t="n">
        <f aca="false">C40*0.05</f>
        <v>108351.9</v>
      </c>
      <c r="E40" s="332" t="n">
        <f aca="false">B40+D40</f>
        <v>108351.9</v>
      </c>
      <c r="F40" s="333" t="n">
        <f aca="false">Projects!$C$42+Projects!$D$42-1</f>
        <v>70</v>
      </c>
      <c r="G40" s="334" t="n">
        <f aca="false">EDATE(DATE(2026,4,1),F40-1)</f>
        <v>48214</v>
      </c>
    </row>
    <row r="41" customFormat="false" ht="15" hidden="false" customHeight="true" outlineLevel="0" collapsed="false">
      <c r="A41" s="175" t="s">
        <v>46</v>
      </c>
      <c r="B41" s="176" t="n">
        <v>0</v>
      </c>
      <c r="C41" s="332" t="n">
        <f aca="false">IF(Projects!$G$43="Yes",Projects!$B$43*(Assumptions!$B$10+Assumptions!$B$11+Assumptions!$B$12),0)</f>
        <v>1805865</v>
      </c>
      <c r="D41" s="332" t="n">
        <f aca="false">C41*0.05</f>
        <v>90293.25</v>
      </c>
      <c r="E41" s="332" t="n">
        <f aca="false">B41+D41</f>
        <v>90293.25</v>
      </c>
      <c r="F41" s="333" t="n">
        <f aca="false">Projects!$C$43+Projects!$D$43-1</f>
        <v>71</v>
      </c>
      <c r="G41" s="334" t="n">
        <f aca="false">EDATE(DATE(2026,4,1),F41-1)</f>
        <v>48245</v>
      </c>
    </row>
    <row r="42" customFormat="false" ht="15" hidden="false" customHeight="true" outlineLevel="0" collapsed="false">
      <c r="A42" s="175" t="s">
        <v>47</v>
      </c>
      <c r="B42" s="176" t="n">
        <v>0</v>
      </c>
      <c r="C42" s="332" t="n">
        <f aca="false">IF(Projects!$G$44="Yes",Projects!$B$44*(Assumptions!$B$10+Assumptions!$B$11+Assumptions!$B$12),0)</f>
        <v>1805865</v>
      </c>
      <c r="D42" s="332" t="n">
        <f aca="false">C42*0.05</f>
        <v>90293.25</v>
      </c>
      <c r="E42" s="332" t="n">
        <f aca="false">B42+D42</f>
        <v>90293.25</v>
      </c>
      <c r="F42" s="333" t="n">
        <f aca="false">Projects!$C$44+Projects!$D$44-1</f>
        <v>72</v>
      </c>
      <c r="G42" s="334" t="n">
        <f aca="false">EDATE(DATE(2026,4,1),F42-1)</f>
        <v>48274</v>
      </c>
    </row>
    <row r="43" customFormat="false" ht="15" hidden="false" customHeight="true" outlineLevel="0" collapsed="false">
      <c r="A43" s="175" t="s">
        <v>48</v>
      </c>
      <c r="B43" s="176" t="n">
        <v>0</v>
      </c>
      <c r="C43" s="332" t="n">
        <f aca="false">IF(Projects!$G$45="Yes",Projects!$B$45*(Assumptions!$B$10+Assumptions!$B$11+Assumptions!$B$12),0)</f>
        <v>2167038</v>
      </c>
      <c r="D43" s="332" t="n">
        <f aca="false">C43*0.05</f>
        <v>108351.9</v>
      </c>
      <c r="E43" s="332" t="n">
        <f aca="false">B43+D43</f>
        <v>108351.9</v>
      </c>
      <c r="F43" s="333" t="n">
        <f aca="false">Projects!$C$45+Projects!$D$45-1</f>
        <v>73</v>
      </c>
      <c r="G43" s="334" t="n">
        <f aca="false">EDATE(DATE(2026,4,1),F43-1)</f>
        <v>48305</v>
      </c>
    </row>
    <row r="44" customFormat="false" ht="15" hidden="false" customHeight="true" outlineLevel="0" collapsed="false">
      <c r="A44" s="175" t="s">
        <v>49</v>
      </c>
      <c r="B44" s="176" t="n">
        <v>0</v>
      </c>
      <c r="C44" s="332" t="n">
        <f aca="false">IF(Projects!$G$46="Yes",Projects!$B$46*(Assumptions!$B$10+Assumptions!$B$11+Assumptions!$B$12),0)</f>
        <v>1805865</v>
      </c>
      <c r="D44" s="332" t="n">
        <f aca="false">C44*0.05</f>
        <v>90293.25</v>
      </c>
      <c r="E44" s="332" t="n">
        <f aca="false">B44+D44</f>
        <v>90293.25</v>
      </c>
      <c r="F44" s="333" t="n">
        <f aca="false">Projects!$C$46+Projects!$D$46-1</f>
        <v>74</v>
      </c>
      <c r="G44" s="334"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2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1122</v>
      </c>
      <c r="N1" s="1" t="s">
        <v>1123</v>
      </c>
      <c r="O1" s="336" t="n">
        <v>1</v>
      </c>
    </row>
    <row r="2" customFormat="false" ht="13.5" hidden="false" customHeight="true" outlineLevel="0" collapsed="false">
      <c r="A2" s="337" t="s">
        <v>1124</v>
      </c>
      <c r="N2" s="1" t="s">
        <v>1125</v>
      </c>
    </row>
    <row r="3" customFormat="false" ht="57" hidden="false" customHeight="true" outlineLevel="0" collapsed="false">
      <c r="A3" s="173" t="s">
        <v>1126</v>
      </c>
      <c r="B3" s="173" t="s">
        <v>468</v>
      </c>
      <c r="C3" s="173" t="s">
        <v>1127</v>
      </c>
      <c r="D3" s="173" t="s">
        <v>1128</v>
      </c>
      <c r="E3" s="173" t="s">
        <v>1129</v>
      </c>
      <c r="F3" s="173" t="s">
        <v>1130</v>
      </c>
      <c r="G3" s="173" t="s">
        <v>1131</v>
      </c>
      <c r="H3" s="173" t="s">
        <v>629</v>
      </c>
      <c r="I3" s="173" t="s">
        <v>1132</v>
      </c>
      <c r="J3" s="173" t="s">
        <v>1133</v>
      </c>
      <c r="K3" s="173" t="s">
        <v>1134</v>
      </c>
      <c r="L3" s="173" t="s">
        <v>1135</v>
      </c>
    </row>
    <row r="4" customFormat="false" ht="13.5" hidden="false" customHeight="true" outlineLevel="0" collapsed="false">
      <c r="A4" s="215" t="n">
        <v>13</v>
      </c>
      <c r="B4" s="213" t="s">
        <v>7</v>
      </c>
      <c r="C4" s="213" t="s">
        <v>1136</v>
      </c>
      <c r="D4" s="215" t="n">
        <v>0</v>
      </c>
      <c r="E4" s="215" t="n">
        <v>1</v>
      </c>
      <c r="F4" s="338" t="n">
        <v>150000</v>
      </c>
      <c r="G4" s="215" t="n">
        <v>9</v>
      </c>
      <c r="H4" s="213" t="s">
        <v>1137</v>
      </c>
      <c r="I4" s="215" t="n">
        <f aca="false">IF(OR($D4=1,$E4=1),SUM(INDEX(Model!$K$13:$DE$56,$A4-12,0))+SUM(INDEX(Model!$K$60:$DE$103,$A4-12,0)),0)</f>
        <v>-201983.3</v>
      </c>
      <c r="J4" s="338" t="n">
        <f aca="false">201983</f>
        <v>201983</v>
      </c>
      <c r="K4" s="215" t="n">
        <f aca="false">IF(OR($D4=1,$E4=1),J4+IF(AND($D4=1,$O$1=1),0,I4),0)</f>
        <v>-0.300000000046566</v>
      </c>
      <c r="L4" s="339" t="n">
        <v>0.5</v>
      </c>
    </row>
    <row r="5" customFormat="false" ht="13.5" hidden="false" customHeight="true" outlineLevel="0" collapsed="false">
      <c r="A5" s="340" t="n">
        <v>14</v>
      </c>
      <c r="B5" s="341" t="s">
        <v>8</v>
      </c>
      <c r="C5" s="341" t="s">
        <v>1136</v>
      </c>
      <c r="D5" s="340" t="n">
        <v>0</v>
      </c>
      <c r="E5" s="340" t="n">
        <v>1</v>
      </c>
      <c r="F5" s="342" t="n">
        <v>358268</v>
      </c>
      <c r="G5" s="340" t="n">
        <v>19</v>
      </c>
      <c r="H5" s="341" t="s">
        <v>1137</v>
      </c>
      <c r="I5" s="340" t="n">
        <f aca="false">IF(OR($D5=1,$E5=1),SUM(INDEX(Model!$K$13:$DE$56,$A5-12,0))+SUM(INDEX(Model!$K$60:$DE$103,$A5-12,0)),0)</f>
        <v>-443926.629999999</v>
      </c>
      <c r="J5" s="342" t="n">
        <f aca="false">194267</f>
        <v>194267</v>
      </c>
      <c r="K5" s="340" t="n">
        <f aca="false">IF(OR($D5=1,$E5=1),J5+IF(AND($D5=1,$O$1=1),0,I5),0)</f>
        <v>-249659.629999999</v>
      </c>
      <c r="L5" s="343" t="n">
        <v>0.5</v>
      </c>
    </row>
    <row r="6" customFormat="false" ht="13.5" hidden="false" customHeight="true" outlineLevel="0" collapsed="false">
      <c r="A6" s="215" t="n">
        <v>15</v>
      </c>
      <c r="B6" s="213" t="s">
        <v>9</v>
      </c>
      <c r="C6" s="213" t="s">
        <v>1138</v>
      </c>
      <c r="D6" s="215" t="n">
        <v>1</v>
      </c>
      <c r="E6" s="215" t="n">
        <v>0</v>
      </c>
      <c r="F6" s="338" t="n">
        <v>0</v>
      </c>
      <c r="G6" s="344" t="n">
        <f aca="false">Retention!$F$4</f>
        <v>17</v>
      </c>
      <c r="H6" s="1" t="s">
        <v>1139</v>
      </c>
      <c r="I6" s="215" t="n">
        <f aca="false">IF(OR($D6=1,$E6=1),SUM(INDEX(Model!$K$13:$DE$56,$A6-12,0))+SUM(INDEX(Model!$K$60:$DE$103,$A6-12,0)),0)</f>
        <v>-129122.51</v>
      </c>
      <c r="J6" s="338" t="n">
        <f aca="false">11610889-11656654</f>
        <v>-45765</v>
      </c>
      <c r="K6" s="215" t="n">
        <f aca="false">IF(OR($D6=1,$E6=1),J6+IF(AND($D6=1,$O$1=1),0,I6),0)</f>
        <v>-45765</v>
      </c>
      <c r="L6" s="339" t="n">
        <v>0</v>
      </c>
    </row>
    <row r="7" customFormat="false" ht="13.5" hidden="false" customHeight="true" outlineLevel="0" collapsed="false">
      <c r="A7" s="340" t="n">
        <v>16</v>
      </c>
      <c r="B7" s="341" t="s">
        <v>10</v>
      </c>
      <c r="C7" s="341" t="s">
        <v>1138</v>
      </c>
      <c r="D7" s="340" t="n">
        <v>1</v>
      </c>
      <c r="E7" s="340" t="n">
        <v>0</v>
      </c>
      <c r="F7" s="342" t="n">
        <v>0</v>
      </c>
      <c r="G7" s="345" t="n">
        <f aca="false">Retention!$F$5</f>
        <v>19</v>
      </c>
      <c r="H7" s="1" t="s">
        <v>1139</v>
      </c>
      <c r="I7" s="340" t="n">
        <f aca="false">IF(OR($D7=1,$E7=1),SUM(INDEX(Model!$K$13:$DE$56,$A7-12,0))+SUM(INDEX(Model!$K$60:$DE$103,$A7-12,0)),0)</f>
        <v>-122763.819999999</v>
      </c>
      <c r="J7" s="342" t="n">
        <f aca="false">13275793-13332488</f>
        <v>-56695</v>
      </c>
      <c r="K7" s="340" t="n">
        <f aca="false">IF(OR($D7=1,$E7=1),J7+IF(AND($D7=1,$O$1=1),0,I7),0)</f>
        <v>-56695</v>
      </c>
      <c r="L7" s="343" t="n">
        <v>0</v>
      </c>
    </row>
    <row r="8" customFormat="false" ht="13.5" hidden="false" customHeight="true" outlineLevel="0" collapsed="false">
      <c r="A8" s="215" t="n">
        <v>17</v>
      </c>
      <c r="B8" s="213" t="s">
        <v>11</v>
      </c>
      <c r="C8" s="213" t="s">
        <v>1136</v>
      </c>
      <c r="D8" s="215" t="n">
        <v>0</v>
      </c>
      <c r="E8" s="215" t="n">
        <v>1</v>
      </c>
      <c r="F8" s="338" t="n">
        <v>0</v>
      </c>
      <c r="G8" s="344" t="n">
        <f aca="false">Retention!$F$6</f>
        <v>15</v>
      </c>
      <c r="H8" s="213" t="s">
        <v>1137</v>
      </c>
      <c r="I8" s="215" t="n">
        <f aca="false">IF(OR($D8=1,$E8=1),SUM(INDEX(Model!$K$13:$DE$56,$A8-12,0))+SUM(INDEX(Model!$K$60:$DE$103,$A8-12,0)),0)</f>
        <v>-2920.55000000005</v>
      </c>
      <c r="J8" s="338" t="n">
        <f aca="false">2920</f>
        <v>2920</v>
      </c>
      <c r="K8" s="215" t="n">
        <f aca="false">IF(OR($D8=1,$E8=1),J8+IF(AND($D8=1,$O$1=1),0,I8),0)</f>
        <v>-0.550000000046566</v>
      </c>
      <c r="L8" s="339" t="n">
        <v>0.5</v>
      </c>
    </row>
    <row r="9" customFormat="false" ht="13.5" hidden="false" customHeight="true" outlineLevel="0" collapsed="false">
      <c r="A9" s="340" t="n">
        <v>18</v>
      </c>
      <c r="B9" s="341" t="s">
        <v>12</v>
      </c>
      <c r="C9" s="341" t="s">
        <v>1138</v>
      </c>
      <c r="D9" s="340" t="n">
        <v>1</v>
      </c>
      <c r="E9" s="340" t="n">
        <v>0</v>
      </c>
      <c r="F9" s="342" t="n">
        <v>0</v>
      </c>
      <c r="G9" s="345" t="n">
        <f aca="false">Retention!$F$7</f>
        <v>36</v>
      </c>
      <c r="H9" s="1" t="s">
        <v>1139</v>
      </c>
      <c r="I9" s="340" t="n">
        <f aca="false">IF(OR($D9=1,$E9=1),SUM(INDEX(Model!$K$13:$DE$56,$A9-12,0))+SUM(INDEX(Model!$K$60:$DE$103,$A9-12,0)),0)</f>
        <v>10991.7400000021</v>
      </c>
      <c r="J9" s="342" t="n">
        <f aca="false">36808214-36808214</f>
        <v>0</v>
      </c>
      <c r="K9" s="340" t="n">
        <f aca="false">IF(OR($D9=1,$E9=1),J9+IF(AND($D9=1,$O$1=1),0,I9),0)</f>
        <v>0</v>
      </c>
      <c r="L9" s="343" t="n">
        <v>0</v>
      </c>
    </row>
    <row r="10" customFormat="false" ht="13.5" hidden="false" customHeight="true" outlineLevel="0" collapsed="false">
      <c r="A10" s="215" t="n">
        <v>19</v>
      </c>
      <c r="B10" s="213" t="s">
        <v>13</v>
      </c>
      <c r="C10" s="213" t="s">
        <v>1138</v>
      </c>
      <c r="D10" s="215" t="n">
        <v>1</v>
      </c>
      <c r="E10" s="215" t="n">
        <v>0</v>
      </c>
      <c r="F10" s="338" t="n">
        <v>0</v>
      </c>
      <c r="G10" s="344" t="n">
        <f aca="false">Retention!$F$8</f>
        <v>24</v>
      </c>
      <c r="H10" s="1" t="s">
        <v>1139</v>
      </c>
      <c r="I10" s="215" t="n">
        <f aca="false">IF(OR($D10=1,$E10=1),SUM(INDEX(Model!$K$13:$DE$56,$A10-12,0))+SUM(INDEX(Model!$K$60:$DE$103,$A10-12,0)),0)</f>
        <v>597.490000000224</v>
      </c>
      <c r="J10" s="338" t="n">
        <f aca="false">11237427-11237427</f>
        <v>0</v>
      </c>
      <c r="K10" s="215" t="n">
        <f aca="false">IF(OR($D10=1,$E10=1),J10+IF(AND($D10=1,$O$1=1),0,I10),0)</f>
        <v>0</v>
      </c>
      <c r="L10" s="339" t="n">
        <v>0</v>
      </c>
    </row>
    <row r="11" customFormat="false" ht="13.5" hidden="false" customHeight="true" outlineLevel="0" collapsed="false">
      <c r="A11" s="340" t="n">
        <v>20</v>
      </c>
      <c r="B11" s="341" t="s">
        <v>14</v>
      </c>
      <c r="C11" s="341" t="s">
        <v>1138</v>
      </c>
      <c r="D11" s="340" t="n">
        <v>1</v>
      </c>
      <c r="E11" s="340" t="n">
        <v>0</v>
      </c>
      <c r="F11" s="342" t="n">
        <v>0</v>
      </c>
      <c r="G11" s="345" t="n">
        <f aca="false">Retention!$F$9</f>
        <v>23</v>
      </c>
      <c r="H11" s="1" t="s">
        <v>1139</v>
      </c>
      <c r="I11" s="340" t="n">
        <f aca="false">IF(OR($D11=1,$E11=1),SUM(INDEX(Model!$K$13:$DE$56,$A11-12,0))+SUM(INDEX(Model!$K$60:$DE$103,$A11-12,0)),0)</f>
        <v>3464.53000000119</v>
      </c>
      <c r="J11" s="342" t="n">
        <f aca="false">12399460-12399460</f>
        <v>0</v>
      </c>
      <c r="K11" s="340" t="n">
        <f aca="false">IF(OR($D11=1,$E11=1),J11+IF(AND($D11=1,$O$1=1),0,I11),0)</f>
        <v>0</v>
      </c>
      <c r="L11" s="343" t="n">
        <v>0</v>
      </c>
    </row>
    <row r="12" customFormat="false" ht="13.5" hidden="false" customHeight="true" outlineLevel="0" collapsed="false">
      <c r="A12" s="215" t="n">
        <v>21</v>
      </c>
      <c r="B12" s="213" t="s">
        <v>15</v>
      </c>
      <c r="C12" s="213" t="s">
        <v>1138</v>
      </c>
      <c r="D12" s="215" t="n">
        <v>1</v>
      </c>
      <c r="E12" s="215" t="n">
        <v>0</v>
      </c>
      <c r="F12" s="338" t="n">
        <v>0</v>
      </c>
      <c r="G12" s="344" t="n">
        <f aca="false">Retention!$F$10</f>
        <v>32</v>
      </c>
      <c r="H12" s="1" t="s">
        <v>1139</v>
      </c>
      <c r="I12" s="215" t="n">
        <f aca="false">IF(OR($D12=1,$E12=1),SUM(INDEX(Model!$K$13:$DE$56,$A12-12,0))+SUM(INDEX(Model!$K$60:$DE$103,$A12-12,0)),0)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1136</v>
      </c>
      <c r="D13" s="340" t="n">
        <v>0</v>
      </c>
      <c r="E13" s="340" t="n">
        <v>1</v>
      </c>
      <c r="F13" s="342" t="n">
        <v>0</v>
      </c>
      <c r="G13" s="345" t="n">
        <f aca="false">Retention!$F$11</f>
        <v>29</v>
      </c>
      <c r="H13" s="341" t="s">
        <v>1137</v>
      </c>
      <c r="I13" s="340" t="n">
        <f aca="false">IF(OR($D13=1,$E13=1),SUM(INDEX(Model!$K$13:$DE$56,$A13-12,0))+SUM(INDEX(Model!$K$60:$DE$103,$A13-12,0)),0)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1136</v>
      </c>
      <c r="D14" s="215" t="n">
        <v>0</v>
      </c>
      <c r="E14" s="215" t="n">
        <v>1</v>
      </c>
      <c r="F14" s="338" t="n">
        <v>0</v>
      </c>
      <c r="G14" s="344" t="n">
        <f aca="false">Retention!$F$12</f>
        <v>28</v>
      </c>
      <c r="H14" s="213" t="s">
        <v>1137</v>
      </c>
      <c r="I14" s="215" t="n">
        <f aca="false">IF(OR($D14=1,$E14=1),SUM(INDEX(Model!$K$13:$DE$56,$A14-12,0))+SUM(INDEX(Model!$K$60:$DE$103,$A14-12,0)),0)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1138</v>
      </c>
      <c r="D15" s="340" t="n">
        <v>1</v>
      </c>
      <c r="E15" s="340" t="n">
        <v>0</v>
      </c>
      <c r="F15" s="342" t="n">
        <v>0</v>
      </c>
      <c r="G15" s="345" t="n">
        <f aca="false">Retention!$F$13</f>
        <v>44</v>
      </c>
      <c r="H15" s="1" t="s">
        <v>1139</v>
      </c>
      <c r="I15" s="340" t="n">
        <f aca="false">IF(OR($D15=1,$E15=1),SUM(INDEX(Model!$K$13:$DE$56,$A15-12,0))+SUM(INDEX(Model!$K$60:$DE$103,$A15-12,0)),0)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1138</v>
      </c>
      <c r="D16" s="215" t="n">
        <v>1</v>
      </c>
      <c r="E16" s="215" t="n">
        <v>0</v>
      </c>
      <c r="F16" s="338" t="n">
        <v>0</v>
      </c>
      <c r="G16" s="344" t="n">
        <f aca="false">Retention!$F$14</f>
        <v>56</v>
      </c>
      <c r="H16" s="1" t="s">
        <v>1139</v>
      </c>
      <c r="I16" s="215" t="n">
        <f aca="false">IF(OR($D16=1,$E16=1),SUM(INDEX(Model!$K$13:$DE$56,$A16-12,0))+SUM(INDEX(Model!$K$60:$DE$103,$A16-12,0)),0)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1138</v>
      </c>
      <c r="D17" s="340" t="n">
        <v>1</v>
      </c>
      <c r="E17" s="340" t="n">
        <v>0</v>
      </c>
      <c r="F17" s="342" t="n">
        <v>0</v>
      </c>
      <c r="G17" s="345" t="n">
        <f aca="false">Retention!$F$15</f>
        <v>36</v>
      </c>
      <c r="H17" s="1" t="s">
        <v>1139</v>
      </c>
      <c r="I17" s="340" t="n">
        <f aca="false">IF(OR($D17=1,$E17=1),SUM(INDEX(Model!$K$13:$DE$56,$A17-12,0))+SUM(INDEX(Model!$K$60:$DE$103,$A17-12,0)),0)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1138</v>
      </c>
      <c r="D18" s="215" t="n">
        <v>1</v>
      </c>
      <c r="E18" s="215" t="n">
        <v>0</v>
      </c>
      <c r="F18" s="338" t="n">
        <v>0</v>
      </c>
      <c r="G18" s="344" t="n">
        <f aca="false">Retention!$F$16</f>
        <v>32</v>
      </c>
      <c r="H18" s="1" t="s">
        <v>1139</v>
      </c>
      <c r="I18" s="215" t="n">
        <f aca="false">IF(OR($D18=1,$E18=1),SUM(INDEX(Model!$K$13:$DE$56,$A18-12,0))+SUM(INDEX(Model!$K$60:$DE$103,$A18-12,0)),0)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1138</v>
      </c>
      <c r="D19" s="340" t="n">
        <v>1</v>
      </c>
      <c r="E19" s="340" t="n">
        <v>0</v>
      </c>
      <c r="F19" s="342" t="n">
        <v>0</v>
      </c>
      <c r="G19" s="345" t="n">
        <f aca="false">Retention!$F$17</f>
        <v>30</v>
      </c>
      <c r="H19" s="1" t="s">
        <v>1139</v>
      </c>
      <c r="I19" s="340" t="n">
        <f aca="false">IF(OR($D19=1,$E19=1),SUM(INDEX(Model!$K$13:$DE$56,$A19-12,0))+SUM(INDEX(Model!$K$60:$DE$103,$A19-12,0)),0)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1136</v>
      </c>
      <c r="D20" s="215" t="n">
        <v>0</v>
      </c>
      <c r="E20" s="215" t="n">
        <v>1</v>
      </c>
      <c r="F20" s="338" t="n">
        <v>0</v>
      </c>
      <c r="G20" s="344" t="n">
        <f aca="false">Retention!$F$18</f>
        <v>43</v>
      </c>
      <c r="H20" s="213" t="s">
        <v>1137</v>
      </c>
      <c r="I20" s="215" t="n">
        <f aca="false">IF(OR($D20=1,$E20=1),SUM(INDEX(Model!$K$13:$DE$56,$A20-12,0))+SUM(INDEX(Model!$K$60:$DE$103,$A20-12,0)),0)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1136</v>
      </c>
      <c r="D21" s="340" t="n">
        <v>0</v>
      </c>
      <c r="E21" s="340" t="n">
        <v>1</v>
      </c>
      <c r="F21" s="342" t="n">
        <v>0</v>
      </c>
      <c r="G21" s="345" t="n">
        <f aca="false">Retention!$F$19</f>
        <v>28</v>
      </c>
      <c r="H21" s="341" t="s">
        <v>1137</v>
      </c>
      <c r="I21" s="340" t="n">
        <f aca="false">IF(OR($D21=1,$E21=1),SUM(INDEX(Model!$K$13:$DE$56,$A21-12,0))+SUM(INDEX(Model!$K$60:$DE$103,$A21-12,0)),0)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1138</v>
      </c>
      <c r="D22" s="215" t="n">
        <v>1</v>
      </c>
      <c r="E22" s="215" t="n">
        <v>0</v>
      </c>
      <c r="F22" s="338" t="n">
        <v>0</v>
      </c>
      <c r="G22" s="344" t="n">
        <f aca="false">Retention!$F$20</f>
        <v>37</v>
      </c>
      <c r="H22" s="213" t="s">
        <v>1139</v>
      </c>
      <c r="I22" s="215" t="n">
        <f aca="false">IF(OR($D22=1,$E22=1),SUM(INDEX(Model!$K$13:$DE$56,$A22-12,0))+SUM(INDEX(Model!$K$60:$DE$103,$A22-12,0)),0)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1138</v>
      </c>
      <c r="D23" s="340" t="n">
        <v>1</v>
      </c>
      <c r="E23" s="340" t="n">
        <v>0</v>
      </c>
      <c r="F23" s="342" t="n">
        <v>0</v>
      </c>
      <c r="G23" s="345" t="n">
        <f aca="false">Retention!$F$21</f>
        <v>35</v>
      </c>
      <c r="H23" s="341" t="s">
        <v>1139</v>
      </c>
      <c r="I23" s="340" t="n">
        <f aca="false">IF(OR($D23=1,$E23=1),SUM(INDEX(Model!$K$13:$DE$56,$A23-12,0))+SUM(INDEX(Model!$K$60:$DE$103,$A23-12,0)),0)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1138</v>
      </c>
      <c r="D24" s="215" t="n">
        <v>1</v>
      </c>
      <c r="E24" s="215" t="n">
        <v>0</v>
      </c>
      <c r="F24" s="338" t="n">
        <v>0</v>
      </c>
      <c r="G24" s="344" t="n">
        <f aca="false">Retention!$F$22</f>
        <v>42</v>
      </c>
      <c r="H24" s="213" t="s">
        <v>1139</v>
      </c>
      <c r="I24" s="215" t="n">
        <f aca="false">IF(OR($D24=1,$E24=1),SUM(INDEX(Model!$K$13:$DE$56,$A24-12,0))+SUM(INDEX(Model!$K$60:$DE$103,$A24-12,0)),0)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1138</v>
      </c>
      <c r="D25" s="340" t="n">
        <v>1</v>
      </c>
      <c r="E25" s="340" t="n">
        <v>0</v>
      </c>
      <c r="F25" s="342" t="n">
        <v>0</v>
      </c>
      <c r="G25" s="345" t="n">
        <f aca="false">Retention!$F$23</f>
        <v>47</v>
      </c>
      <c r="H25" s="341" t="s">
        <v>1139</v>
      </c>
      <c r="I25" s="340" t="n">
        <f aca="false">IF(OR($D25=1,$E25=1),SUM(INDEX(Model!$K$13:$DE$56,$A25-12,0))+SUM(INDEX(Model!$K$60:$DE$103,$A25-12,0)),0)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1138</v>
      </c>
      <c r="D26" s="215" t="n">
        <v>1</v>
      </c>
      <c r="E26" s="215" t="n">
        <v>0</v>
      </c>
      <c r="F26" s="338" t="n">
        <v>0</v>
      </c>
      <c r="G26" s="344" t="n">
        <f aca="false">Retention!$F$24</f>
        <v>48</v>
      </c>
      <c r="H26" s="213" t="s">
        <v>1139</v>
      </c>
      <c r="I26" s="215" t="n">
        <f aca="false">IF(OR($D26=1,$E26=1),SUM(INDEX(Model!$K$13:$DE$56,$A26-12,0))+SUM(INDEX(Model!$K$60:$DE$103,$A26-12,0)),0)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1138</v>
      </c>
      <c r="D27" s="340" t="n">
        <v>1</v>
      </c>
      <c r="E27" s="340" t="n">
        <v>0</v>
      </c>
      <c r="F27" s="342" t="n">
        <v>0</v>
      </c>
      <c r="G27" s="345" t="n">
        <f aca="false">Retention!$F$25</f>
        <v>49</v>
      </c>
      <c r="H27" s="341" t="s">
        <v>1139</v>
      </c>
      <c r="I27" s="340" t="n">
        <f aca="false">IF(OR($D27=1,$E27=1),SUM(INDEX(Model!$K$13:$DE$56,$A27-12,0))+SUM(INDEX(Model!$K$60:$DE$103,$A27-12,0)),0)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1138</v>
      </c>
      <c r="D28" s="215" t="n">
        <v>1</v>
      </c>
      <c r="E28" s="215" t="n">
        <v>0</v>
      </c>
      <c r="F28" s="338" t="n">
        <v>0</v>
      </c>
      <c r="G28" s="344" t="n">
        <f aca="false">Retention!$F$26</f>
        <v>50</v>
      </c>
      <c r="H28" s="213" t="s">
        <v>1139</v>
      </c>
      <c r="I28" s="215" t="n">
        <f aca="false">IF(OR($D28=1,$E28=1),SUM(INDEX(Model!$K$13:$DE$56,$A28-12,0))+SUM(INDEX(Model!$K$60:$DE$103,$A28-12,0)),0)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1138</v>
      </c>
      <c r="D29" s="340" t="n">
        <v>1</v>
      </c>
      <c r="E29" s="340" t="n">
        <v>0</v>
      </c>
      <c r="F29" s="342" t="n">
        <v>0</v>
      </c>
      <c r="G29" s="345" t="n">
        <f aca="false">Retention!$F$27</f>
        <v>51</v>
      </c>
      <c r="H29" s="341" t="s">
        <v>1139</v>
      </c>
      <c r="I29" s="340" t="n">
        <f aca="false">IF(OR($D29=1,$E29=1),SUM(INDEX(Model!$K$13:$DE$56,$A29-12,0))+SUM(INDEX(Model!$K$60:$DE$103,$A29-12,0)),0)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1138</v>
      </c>
      <c r="D30" s="215" t="n">
        <v>1</v>
      </c>
      <c r="E30" s="215" t="n">
        <v>0</v>
      </c>
      <c r="F30" s="338" t="n">
        <v>0</v>
      </c>
      <c r="G30" s="344" t="n">
        <f aca="false">Retention!$F$28</f>
        <v>52</v>
      </c>
      <c r="H30" s="213" t="s">
        <v>1139</v>
      </c>
      <c r="I30" s="215" t="n">
        <f aca="false">IF(OR($D30=1,$E30=1),SUM(INDEX(Model!$K$13:$DE$56,$A30-12,0))+SUM(INDEX(Model!$K$60:$DE$103,$A30-12,0)),0)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1138</v>
      </c>
      <c r="D31" s="340" t="n">
        <v>1</v>
      </c>
      <c r="E31" s="340" t="n">
        <v>0</v>
      </c>
      <c r="F31" s="342" t="n">
        <v>0</v>
      </c>
      <c r="G31" s="345" t="n">
        <f aca="false">Retention!$F$29</f>
        <v>53</v>
      </c>
      <c r="H31" s="341" t="s">
        <v>1139</v>
      </c>
      <c r="I31" s="340" t="n">
        <f aca="false">IF(OR($D31=1,$E31=1),SUM(INDEX(Model!$K$13:$DE$56,$A31-12,0))+SUM(INDEX(Model!$K$60:$DE$103,$A31-12,0)),0)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1138</v>
      </c>
      <c r="D32" s="215" t="n">
        <v>1</v>
      </c>
      <c r="E32" s="215" t="n">
        <v>0</v>
      </c>
      <c r="F32" s="338" t="n">
        <v>0</v>
      </c>
      <c r="G32" s="344" t="n">
        <f aca="false">Retention!$F$30</f>
        <v>54</v>
      </c>
      <c r="H32" s="213" t="s">
        <v>1139</v>
      </c>
      <c r="I32" s="215" t="n">
        <f aca="false">IF(OR($D32=1,$E32=1),SUM(INDEX(Model!$K$13:$DE$56,$A32-12,0))+SUM(INDEX(Model!$K$60:$DE$103,$A32-12,0)),0)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1138</v>
      </c>
      <c r="D33" s="340" t="n">
        <v>1</v>
      </c>
      <c r="E33" s="340" t="n">
        <v>0</v>
      </c>
      <c r="F33" s="342" t="n">
        <v>0</v>
      </c>
      <c r="G33" s="345" t="n">
        <f aca="false">Retention!$F$31</f>
        <v>55</v>
      </c>
      <c r="H33" s="341" t="s">
        <v>1139</v>
      </c>
      <c r="I33" s="340" t="n">
        <f aca="false">IF(OR($D33=1,$E33=1),SUM(INDEX(Model!$K$13:$DE$56,$A33-12,0))+SUM(INDEX(Model!$K$60:$DE$103,$A33-12,0)),0)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1138</v>
      </c>
      <c r="D34" s="215" t="n">
        <v>1</v>
      </c>
      <c r="E34" s="215" t="n">
        <v>0</v>
      </c>
      <c r="F34" s="338" t="n">
        <v>0</v>
      </c>
      <c r="G34" s="344" t="n">
        <f aca="false">Retention!$F$32</f>
        <v>56</v>
      </c>
      <c r="H34" s="213" t="s">
        <v>1139</v>
      </c>
      <c r="I34" s="215" t="n">
        <f aca="false">IF(OR($D34=1,$E34=1),SUM(INDEX(Model!$K$13:$DE$56,$A34-12,0))+SUM(INDEX(Model!$K$60:$DE$103,$A34-12,0)),0)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1138</v>
      </c>
      <c r="D35" s="340" t="n">
        <v>1</v>
      </c>
      <c r="E35" s="340" t="n">
        <v>0</v>
      </c>
      <c r="F35" s="342" t="n">
        <v>0</v>
      </c>
      <c r="G35" s="345" t="n">
        <f aca="false">Retention!$F$33</f>
        <v>57</v>
      </c>
      <c r="H35" s="341" t="s">
        <v>1139</v>
      </c>
      <c r="I35" s="340" t="n">
        <f aca="false">IF(OR($D35=1,$E35=1),SUM(INDEX(Model!$K$13:$DE$56,$A35-12,0))+SUM(INDEX(Model!$K$60:$DE$103,$A35-12,0)),0)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1138</v>
      </c>
      <c r="D36" s="215" t="n">
        <v>1</v>
      </c>
      <c r="E36" s="215" t="n">
        <v>0</v>
      </c>
      <c r="F36" s="338" t="n">
        <v>0</v>
      </c>
      <c r="G36" s="344" t="n">
        <f aca="false">Retention!$F$34</f>
        <v>61</v>
      </c>
      <c r="H36" s="213" t="s">
        <v>1139</v>
      </c>
      <c r="I36" s="215" t="n">
        <f aca="false">IF(OR($D36=1,$E36=1),SUM(INDEX(Model!$K$13:$DE$56,$A36-12,0))+SUM(INDEX(Model!$K$60:$DE$103,$A36-12,0)),0)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1138</v>
      </c>
      <c r="D37" s="340" t="n">
        <v>1</v>
      </c>
      <c r="E37" s="340" t="n">
        <v>0</v>
      </c>
      <c r="F37" s="342" t="n">
        <v>0</v>
      </c>
      <c r="G37" s="345" t="n">
        <f aca="false">Retention!$F$35</f>
        <v>62</v>
      </c>
      <c r="H37" s="341" t="s">
        <v>1139</v>
      </c>
      <c r="I37" s="340" t="n">
        <f aca="false">IF(OR($D37=1,$E37=1),SUM(INDEX(Model!$K$13:$DE$56,$A37-12,0))+SUM(INDEX(Model!$K$60:$DE$103,$A37-12,0)),0)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1138</v>
      </c>
      <c r="D38" s="215" t="n">
        <v>1</v>
      </c>
      <c r="E38" s="215" t="n">
        <v>0</v>
      </c>
      <c r="F38" s="338" t="n">
        <v>0</v>
      </c>
      <c r="G38" s="344" t="n">
        <f aca="false">Retention!$F$36</f>
        <v>66</v>
      </c>
      <c r="H38" s="213" t="s">
        <v>1139</v>
      </c>
      <c r="I38" s="215" t="n">
        <f aca="false">IF(OR($D38=1,$E38=1),SUM(INDEX(Model!$K$13:$DE$56,$A38-12,0))+SUM(INDEX(Model!$K$60:$DE$103,$A38-12,0)),0)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1138</v>
      </c>
      <c r="D39" s="340" t="n">
        <v>1</v>
      </c>
      <c r="E39" s="340" t="n">
        <v>0</v>
      </c>
      <c r="F39" s="342" t="n">
        <v>0</v>
      </c>
      <c r="G39" s="345" t="n">
        <f aca="false">Retention!$F$37</f>
        <v>67</v>
      </c>
      <c r="H39" s="341" t="s">
        <v>1139</v>
      </c>
      <c r="I39" s="340" t="n">
        <f aca="false">IF(OR($D39=1,$E39=1),SUM(INDEX(Model!$K$13:$DE$56,$A39-12,0))+SUM(INDEX(Model!$K$60:$DE$103,$A39-12,0)),0)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1138</v>
      </c>
      <c r="D40" s="215" t="n">
        <v>1</v>
      </c>
      <c r="E40" s="215" t="n">
        <v>0</v>
      </c>
      <c r="F40" s="338" t="n">
        <v>0</v>
      </c>
      <c r="G40" s="344" t="n">
        <f aca="false">Retention!$F$38</f>
        <v>68</v>
      </c>
      <c r="H40" s="213" t="s">
        <v>1139</v>
      </c>
      <c r="I40" s="215" t="n">
        <f aca="false">IF(OR($D40=1,$E40=1),SUM(INDEX(Model!$K$13:$DE$56,$A40-12,0))+SUM(INDEX(Model!$K$60:$DE$103,$A40-12,0)),0)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1138</v>
      </c>
      <c r="D41" s="340" t="n">
        <v>1</v>
      </c>
      <c r="E41" s="340" t="n">
        <v>0</v>
      </c>
      <c r="F41" s="342" t="n">
        <v>0</v>
      </c>
      <c r="G41" s="345" t="n">
        <f aca="false">Retention!$F$39</f>
        <v>69</v>
      </c>
      <c r="H41" s="341" t="s">
        <v>1139</v>
      </c>
      <c r="I41" s="340" t="n">
        <f aca="false">IF(OR($D41=1,$E41=1),SUM(INDEX(Model!$K$13:$DE$56,$A41-12,0))+SUM(INDEX(Model!$K$60:$DE$103,$A41-12,0)),0)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1138</v>
      </c>
      <c r="D42" s="215" t="n">
        <v>1</v>
      </c>
      <c r="E42" s="215" t="n">
        <v>0</v>
      </c>
      <c r="F42" s="338" t="n">
        <v>0</v>
      </c>
      <c r="G42" s="344" t="n">
        <f aca="false">Retention!$F$40</f>
        <v>70</v>
      </c>
      <c r="H42" s="213" t="s">
        <v>1139</v>
      </c>
      <c r="I42" s="215" t="n">
        <f aca="false">IF(OR($D42=1,$E42=1),SUM(INDEX(Model!$K$13:$DE$56,$A42-12,0))+SUM(INDEX(Model!$K$60:$DE$103,$A42-12,0)),0)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1138</v>
      </c>
      <c r="D43" s="340" t="n">
        <v>1</v>
      </c>
      <c r="E43" s="340" t="n">
        <v>0</v>
      </c>
      <c r="F43" s="342" t="n">
        <v>0</v>
      </c>
      <c r="G43" s="345" t="n">
        <f aca="false">Retention!$F$41</f>
        <v>71</v>
      </c>
      <c r="H43" s="341" t="s">
        <v>1139</v>
      </c>
      <c r="I43" s="340" t="n">
        <f aca="false">IF(OR($D43=1,$E43=1),SUM(INDEX(Model!$K$13:$DE$56,$A43-12,0))+SUM(INDEX(Model!$K$60:$DE$103,$A43-12,0)),0)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1138</v>
      </c>
      <c r="D44" s="215" t="n">
        <v>1</v>
      </c>
      <c r="E44" s="215" t="n">
        <v>0</v>
      </c>
      <c r="F44" s="338" t="n">
        <v>0</v>
      </c>
      <c r="G44" s="344" t="n">
        <f aca="false">Retention!$F$42</f>
        <v>72</v>
      </c>
      <c r="H44" s="213" t="s">
        <v>1139</v>
      </c>
      <c r="I44" s="215" t="n">
        <f aca="false">IF(OR($D44=1,$E44=1),SUM(INDEX(Model!$K$13:$DE$56,$A44-12,0))+SUM(INDEX(Model!$K$60:$DE$103,$A44-12,0)),0)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1138</v>
      </c>
      <c r="D45" s="340" t="n">
        <v>1</v>
      </c>
      <c r="E45" s="340" t="n">
        <v>0</v>
      </c>
      <c r="F45" s="342" t="n">
        <v>0</v>
      </c>
      <c r="G45" s="345" t="n">
        <f aca="false">Retention!$F$43</f>
        <v>73</v>
      </c>
      <c r="H45" s="341" t="s">
        <v>1139</v>
      </c>
      <c r="I45" s="340" t="n">
        <f aca="false">IF(OR($D45=1,$E45=1),SUM(INDEX(Model!$K$13:$DE$56,$A45-12,0))+SUM(INDEX(Model!$K$60:$DE$103,$A45-12,0)),0)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1138</v>
      </c>
      <c r="D46" s="215" t="n">
        <v>1</v>
      </c>
      <c r="E46" s="215" t="n">
        <v>0</v>
      </c>
      <c r="F46" s="338" t="n">
        <v>0</v>
      </c>
      <c r="G46" s="344" t="n">
        <f aca="false">Retention!$F$44</f>
        <v>74</v>
      </c>
      <c r="H46" s="213" t="s">
        <v>1139</v>
      </c>
      <c r="I46" s="215" t="n">
        <f aca="false">IF(OR($D46=1,$E46=1),SUM(INDEX(Model!$K$13:$DE$56,$A46-12,0))+SUM(INDEX(Model!$K$60:$DE$103,$A46-12,0)),0)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1140</v>
      </c>
      <c r="D47" s="340" t="n">
        <v>0</v>
      </c>
      <c r="E47" s="340" t="n">
        <v>0</v>
      </c>
      <c r="F47" s="342" t="n">
        <v>0</v>
      </c>
      <c r="G47" s="340" t="n">
        <v>0</v>
      </c>
      <c r="I47" s="340" t="n">
        <f aca="false">IF(OR($D47=1,$E47=1),SUM(INDEX(Model!$K$13:$DE$56,$A47-12,0))+SUM(INDEX(Model!$K$60:$DE$103,$A47-12,0)),0)</f>
        <v>0</v>
      </c>
      <c r="J47" s="342" t="n">
        <v>0</v>
      </c>
      <c r="K47" s="340" t="n">
        <f aca="false">IF(OR($D47=1,$E47=1),J47+IF(AND($D47=1,$O$1=1),0,I47),0)</f>
        <v>0</v>
      </c>
      <c r="L47" s="343" t="n">
        <v>0</v>
      </c>
    </row>
    <row r="58" customFormat="false" ht="13.5" hidden="false" customHeight="true" outlineLevel="0" collapsed="false">
      <c r="A58" s="346" t="s">
        <v>1141</v>
      </c>
    </row>
    <row r="59" customFormat="false" ht="13.5" hidden="false" customHeight="true" outlineLevel="0" collapsed="false">
      <c r="A59" s="1" t="s">
        <v>1142</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46" t="s">
        <v>487</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0</v>
      </c>
      <c r="K104" s="346" t="n">
        <f aca="false">SUM(K60:K103)</f>
        <v>477.759999999835</v>
      </c>
      <c r="L104" s="346" t="n">
        <f aca="false">SUM(L60:L103)</f>
        <v>877.089999999618</v>
      </c>
      <c r="M104" s="346" t="n">
        <f aca="false">SUM(M60:M103)</f>
        <v>1257.46999999927</v>
      </c>
      <c r="N104" s="346" t="n">
        <f aca="false">SUM(N60:N103)</f>
        <v>1711.50999999978</v>
      </c>
      <c r="O104" s="346" t="n">
        <f aca="false">SUM(O60:O103)</f>
        <v>2154.5699999989</v>
      </c>
      <c r="P104" s="346" t="n">
        <f aca="false">SUM(P60:P103)</f>
        <v>2651.90999999922</v>
      </c>
      <c r="Q104" s="346" t="n">
        <f aca="false">SUM(Q60:Q103)</f>
        <v>3132.95999999903</v>
      </c>
      <c r="R104" s="346" t="n">
        <f aca="false">SUM(R60:R103)</f>
        <v>3657.06000000145</v>
      </c>
      <c r="S104" s="346" t="n">
        <f aca="false">SUM(S60:S103)</f>
        <v>4165.95000000019</v>
      </c>
      <c r="T104" s="346" t="n">
        <f aca="false">SUM(T60:T103)</f>
        <v>4813.35000000056</v>
      </c>
      <c r="U104" s="346" t="n">
        <f aca="false">SUM(U60:U103)</f>
        <v>5319.16000000015</v>
      </c>
      <c r="V104" s="346" t="n">
        <f aca="false">SUM(V60:V103)</f>
        <v>6229.06000000145</v>
      </c>
      <c r="W104" s="346" t="n">
        <f aca="false">SUM(W60:W103)</f>
        <v>6870.95000000298</v>
      </c>
      <c r="X104" s="346" t="n">
        <f aca="false">SUM(X60:X103)</f>
        <v>7910.41000000015</v>
      </c>
      <c r="Y104" s="346" t="n">
        <f aca="false">SUM(Y60:Y103)</f>
        <v>8560.58999999985</v>
      </c>
      <c r="Z104" s="346" t="n">
        <f aca="false">SUM(Z60:Z103)</f>
        <v>9455.80999999866</v>
      </c>
      <c r="AA104" s="346" t="n">
        <f aca="false">SUM(AA60:AA103)</f>
        <v>10169.8400000017</v>
      </c>
      <c r="AB104" s="346" t="n">
        <f aca="false">SUM(AB60:AB103)</f>
        <v>10612.8900000025</v>
      </c>
      <c r="AC104" s="346" t="n">
        <f aca="false">SUM(AC60:AC103)</f>
        <v>10886.9000000004</v>
      </c>
      <c r="AD104" s="346" t="n">
        <f aca="false">SUM(AD60:AD103)</f>
        <v>11211.3800000008</v>
      </c>
      <c r="AE104" s="346" t="n">
        <f aca="false">SUM(AE60:AE103)</f>
        <v>11515.9200000037</v>
      </c>
      <c r="AF104" s="346" t="n">
        <f aca="false">SUM(AF60:AF103)</f>
        <v>11892.5200000014</v>
      </c>
      <c r="AG104" s="346" t="n">
        <f aca="false">SUM(AG60:AG103)</f>
        <v>12546.5200000014</v>
      </c>
      <c r="AH104" s="346" t="n">
        <f aca="false">SUM(AH60:AH103)</f>
        <v>13153.4800000023</v>
      </c>
      <c r="AI104" s="346" t="n">
        <f aca="false">SUM(AI60:AI103)</f>
        <v>13746.8799999971</v>
      </c>
      <c r="AJ104" s="346" t="n">
        <f aca="false">SUM(AJ60:AJ103)</f>
        <v>14070.6300000008</v>
      </c>
      <c r="AK104" s="346" t="n">
        <f aca="false">SUM(AK60:AK103)</f>
        <v>14339.3800000008</v>
      </c>
      <c r="AL104" s="346" t="n">
        <f aca="false">SUM(AL60:AL103)</f>
        <v>14639.5999999996</v>
      </c>
      <c r="AM104" s="346" t="n">
        <f aca="false">SUM(AM60:AM103)</f>
        <v>14965.9500000011</v>
      </c>
      <c r="AN104" s="346" t="n">
        <f aca="false">SUM(AN60:AN103)</f>
        <v>15053.7600000035</v>
      </c>
      <c r="AO104" s="346" t="n">
        <f aca="false">SUM(AO60:AO103)</f>
        <v>15053.7600000035</v>
      </c>
      <c r="AP104" s="346" t="n">
        <f aca="false">SUM(AP60:AP103)</f>
        <v>15053.7600000035</v>
      </c>
      <c r="AQ104" s="346" t="n">
        <f aca="false">SUM(AQ60:AQ103)</f>
        <v>15053.7600000035</v>
      </c>
      <c r="AR104" s="346" t="n">
        <f aca="false">SUM(AR60:AR103)</f>
        <v>15053.7600000035</v>
      </c>
      <c r="AS104" s="346" t="n">
        <f aca="false">SUM(AS60:AS103)</f>
        <v>15053.7600000035</v>
      </c>
      <c r="AT104" s="346" t="n">
        <f aca="false">SUM(AT60:AT103)</f>
        <v>15053.7600000035</v>
      </c>
      <c r="AU104" s="346" t="n">
        <f aca="false">SUM(AU60:AU103)</f>
        <v>15053.7600000035</v>
      </c>
      <c r="AV104" s="346" t="n">
        <f aca="false">SUM(AV60:AV103)</f>
        <v>15053.7600000035</v>
      </c>
      <c r="AW104" s="346" t="n">
        <f aca="false">SUM(AW60:AW103)</f>
        <v>15053.7600000035</v>
      </c>
      <c r="AX104" s="346" t="n">
        <f aca="false">SUM(AX60:AX103)</f>
        <v>15053.7600000035</v>
      </c>
      <c r="AY104" s="346" t="n">
        <f aca="false">SUM(AY60:AY103)</f>
        <v>15053.7600000035</v>
      </c>
      <c r="AZ104" s="346" t="n">
        <f aca="false">SUM(AZ60:AZ103)</f>
        <v>15053.7600000035</v>
      </c>
      <c r="BA104" s="346" t="n">
        <f aca="false">SUM(BA60:BA103)</f>
        <v>15053.7600000035</v>
      </c>
      <c r="BB104" s="346" t="n">
        <f aca="false">SUM(BB60:BB103)</f>
        <v>15053.7600000035</v>
      </c>
      <c r="BC104" s="346" t="n">
        <f aca="false">SUM(BC60:BC103)</f>
        <v>15053.7600000035</v>
      </c>
      <c r="BD104" s="346" t="n">
        <f aca="false">SUM(BD60:BD103)</f>
        <v>15053.7600000035</v>
      </c>
      <c r="BE104" s="346" t="n">
        <f aca="false">SUM(BE60:BE103)</f>
        <v>15053.7600000035</v>
      </c>
      <c r="BF104" s="346" t="n">
        <f aca="false">SUM(BF60:BF103)</f>
        <v>15053.7600000035</v>
      </c>
      <c r="BG104" s="346" t="n">
        <f aca="false">SUM(BG60:BG103)</f>
        <v>15053.7600000035</v>
      </c>
      <c r="BH104" s="346" t="n">
        <f aca="false">SUM(BH60:BH103)</f>
        <v>15053.7600000035</v>
      </c>
      <c r="BI104" s="346" t="n">
        <f aca="false">SUM(BI60:BI103)</f>
        <v>15053.7600000035</v>
      </c>
      <c r="BJ104" s="346" t="n">
        <f aca="false">SUM(BJ60:BJ103)</f>
        <v>15053.7600000035</v>
      </c>
      <c r="BK104" s="346" t="n">
        <f aca="false">SUM(BK60:BK103)</f>
        <v>15053.7600000035</v>
      </c>
      <c r="BL104" s="346" t="n">
        <f aca="false">SUM(BL60:BL103)</f>
        <v>15053.7600000035</v>
      </c>
      <c r="BM104" s="346" t="n">
        <f aca="false">SUM(BM60:BM103)</f>
        <v>15053.7600000035</v>
      </c>
      <c r="BN104" s="346" t="n">
        <f aca="false">SUM(BN60:BN103)</f>
        <v>15053.7600000035</v>
      </c>
      <c r="BO104" s="346" t="n">
        <f aca="false">SUM(BO60:BO103)</f>
        <v>15053.7600000035</v>
      </c>
      <c r="BP104" s="346" t="n">
        <f aca="false">SUM(BP60:BP103)</f>
        <v>15053.7600000035</v>
      </c>
      <c r="BQ104" s="346" t="n">
        <f aca="false">SUM(BQ60:BQ103)</f>
        <v>15053.7600000035</v>
      </c>
      <c r="BR104" s="346" t="n">
        <f aca="false">SUM(BR60:BR103)</f>
        <v>15053.7600000035</v>
      </c>
      <c r="BS104" s="346" t="n">
        <f aca="false">SUM(BS60:BS103)</f>
        <v>15053.7600000035</v>
      </c>
      <c r="BT104" s="346" t="n">
        <f aca="false">SUM(BT60:BT103)</f>
        <v>15053.7600000035</v>
      </c>
      <c r="BU104" s="346" t="n">
        <f aca="false">SUM(BU60:BU103)</f>
        <v>15053.7600000035</v>
      </c>
      <c r="BV104" s="346" t="n">
        <f aca="false">SUM(BV60:BV103)</f>
        <v>15053.7600000035</v>
      </c>
      <c r="BW104" s="346" t="n">
        <f aca="false">SUM(BW60:BW103)</f>
        <v>15053.7600000035</v>
      </c>
      <c r="BX104" s="346" t="n">
        <f aca="false">SUM(BX60:BX103)</f>
        <v>15053.7600000035</v>
      </c>
      <c r="BY104" s="346" t="n">
        <f aca="false">SUM(BY60:BY103)</f>
        <v>15053.7600000035</v>
      </c>
      <c r="BZ104" s="346" t="n">
        <f aca="false">SUM(BZ60:BZ103)</f>
        <v>15053.7600000035</v>
      </c>
      <c r="CA104" s="346" t="n">
        <f aca="false">SUM(CA60:CA103)</f>
        <v>15053.7600000035</v>
      </c>
      <c r="CB104" s="346" t="n">
        <f aca="false">SUM(CB60:CB103)</f>
        <v>15053.7600000035</v>
      </c>
      <c r="CC104" s="346" t="n">
        <f aca="false">SUM(CC60:CC103)</f>
        <v>15053.7600000035</v>
      </c>
      <c r="CD104" s="346" t="n">
        <f aca="false">SUM(CD60:CD103)</f>
        <v>15053.7600000035</v>
      </c>
      <c r="CE104" s="346" t="n">
        <f aca="false">SUM(CE60:CE103)</f>
        <v>15053.7600000035</v>
      </c>
      <c r="CF104" s="346" t="n">
        <f aca="false">SUM(CF60:CF103)</f>
        <v>15053.7600000035</v>
      </c>
      <c r="CG104" s="346" t="n">
        <f aca="false">SUM(CG60:CG103)</f>
        <v>15053.7600000035</v>
      </c>
      <c r="CH104" s="346" t="n">
        <f aca="false">SUM(CH60:CH103)</f>
        <v>15053.7600000035</v>
      </c>
      <c r="CI104" s="346" t="n">
        <f aca="false">SUM(CI60:CI103)</f>
        <v>15053.7600000035</v>
      </c>
      <c r="CJ104" s="346" t="n">
        <f aca="false">SUM(CJ60:CJ103)</f>
        <v>15053.7600000035</v>
      </c>
      <c r="CK104" s="346" t="n">
        <f aca="false">SUM(CK60:CK103)</f>
        <v>15053.7600000035</v>
      </c>
      <c r="CL104" s="346" t="n">
        <f aca="false">SUM(CL60:CL103)</f>
        <v>15053.7600000035</v>
      </c>
      <c r="CM104" s="346" t="n">
        <f aca="false">SUM(CM60:CM103)</f>
        <v>15053.7600000035</v>
      </c>
      <c r="CN104" s="346" t="n">
        <f aca="false">SUM(CN60:CN103)</f>
        <v>15053.7600000035</v>
      </c>
      <c r="CO104" s="346" t="n">
        <f aca="false">SUM(CO60:CO103)</f>
        <v>15053.7600000035</v>
      </c>
      <c r="CP104" s="346" t="n">
        <f aca="false">SUM(CP60:CP103)</f>
        <v>15053.7600000035</v>
      </c>
      <c r="CQ104" s="346" t="n">
        <f aca="false">SUM(CQ60:CQ103)</f>
        <v>15053.7600000035</v>
      </c>
      <c r="CR104" s="346" t="n">
        <f aca="false">SUM(CR60:CR103)</f>
        <v>15053.7600000035</v>
      </c>
      <c r="CS104" s="346" t="n">
        <f aca="false">SUM(CS60:CS103)</f>
        <v>15053.7600000035</v>
      </c>
      <c r="CT104" s="346" t="n">
        <f aca="false">SUM(CT60:CT103)</f>
        <v>15053.7600000035</v>
      </c>
      <c r="CU104" s="346" t="n">
        <f aca="false">SUM(CU60:CU103)</f>
        <v>15053.7600000035</v>
      </c>
      <c r="CV104" s="346" t="n">
        <f aca="false">SUM(CV60:CV103)</f>
        <v>15053.7600000035</v>
      </c>
      <c r="CW104" s="346" t="n">
        <f aca="false">SUM(CW60:CW103)</f>
        <v>15053.7600000035</v>
      </c>
      <c r="CX104" s="346" t="n">
        <f aca="false">SUM(CX60:CX103)</f>
        <v>15053.7600000035</v>
      </c>
      <c r="CY104" s="346" t="n">
        <f aca="false">SUM(CY60:CY103)</f>
        <v>15053.7600000035</v>
      </c>
      <c r="CZ104" s="346" t="n">
        <f aca="false">SUM(CZ60:CZ103)</f>
        <v>15053.7600000035</v>
      </c>
      <c r="DA104" s="346" t="n">
        <f aca="false">SUM(DA60:DA103)</f>
        <v>15053.7600000035</v>
      </c>
      <c r="DB104" s="346" t="n">
        <f aca="false">SUM(DB60:DB103)</f>
        <v>15053.7600000035</v>
      </c>
      <c r="DC104" s="346" t="n">
        <f aca="false">SUM(DC60:DC103)</f>
        <v>15053.7600000035</v>
      </c>
      <c r="DD104" s="346" t="n">
        <f aca="false">SUM(DD60:DD103)</f>
        <v>15053.7600000035</v>
      </c>
      <c r="DE104" s="346"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5468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1143</v>
      </c>
    </row>
    <row r="2" customFormat="false" ht="13.5" hidden="false" customHeight="true" outlineLevel="0" collapsed="false">
      <c r="A2" s="205" t="s">
        <v>1144</v>
      </c>
    </row>
    <row r="4" customFormat="false" ht="13.5" hidden="false" customHeight="true" outlineLevel="0" collapsed="false">
      <c r="A4" s="209" t="s">
        <v>1145</v>
      </c>
      <c r="B4" s="210"/>
      <c r="C4" s="210"/>
      <c r="D4" s="210"/>
      <c r="E4" s="210"/>
      <c r="F4" s="210"/>
    </row>
    <row r="5" customFormat="false" ht="13.5" hidden="false" customHeight="true" outlineLevel="0" collapsed="false">
      <c r="A5" s="109" t="s">
        <v>1146</v>
      </c>
      <c r="B5" s="347" t="n">
        <v>0.875</v>
      </c>
    </row>
    <row r="6" customFormat="false" ht="13.5" hidden="false" customHeight="true" outlineLevel="0" collapsed="false">
      <c r="A6" s="109" t="s">
        <v>1147</v>
      </c>
      <c r="B6" s="347" t="n">
        <v>0.5</v>
      </c>
    </row>
    <row r="7" customFormat="false" ht="13.5" hidden="false" customHeight="true" outlineLevel="0" collapsed="false">
      <c r="A7" s="109" t="s">
        <v>1148</v>
      </c>
      <c r="B7" s="347" t="n">
        <v>0.25</v>
      </c>
    </row>
    <row r="8" customFormat="false" ht="13.5" hidden="false" customHeight="true" outlineLevel="0" collapsed="false">
      <c r="A8" s="109" t="s">
        <v>1149</v>
      </c>
      <c r="B8" s="347" t="n">
        <v>0.165</v>
      </c>
    </row>
    <row r="9" customFormat="false" ht="13.5" hidden="false" customHeight="true" outlineLevel="0" collapsed="false">
      <c r="A9" s="109" t="s">
        <v>1150</v>
      </c>
      <c r="B9" s="347" t="n">
        <v>0.5</v>
      </c>
    </row>
    <row r="10" customFormat="false" ht="13.5" hidden="false" customHeight="true" outlineLevel="0" collapsed="false">
      <c r="A10" s="109" t="s">
        <v>1151</v>
      </c>
      <c r="B10" s="347" t="n">
        <v>0.2</v>
      </c>
    </row>
    <row r="11" customFormat="false" ht="13.5" hidden="false" customHeight="true" outlineLevel="0" collapsed="false">
      <c r="A11" s="109" t="s">
        <v>1152</v>
      </c>
      <c r="B11" s="347" t="n">
        <v>0.5</v>
      </c>
    </row>
    <row r="12" customFormat="false" ht="13.5" hidden="false" customHeight="true" outlineLevel="0" collapsed="false">
      <c r="A12" s="109" t="s">
        <v>1153</v>
      </c>
      <c r="B12" s="348" t="n">
        <v>25000000</v>
      </c>
    </row>
    <row r="13" customFormat="false" ht="13.5" hidden="false" customHeight="true" outlineLevel="0" collapsed="false">
      <c r="A13" s="109" t="s">
        <v>1154</v>
      </c>
      <c r="B13" s="348" t="n">
        <v>10000000</v>
      </c>
    </row>
    <row r="14" customFormat="false" ht="13.5" hidden="false" customHeight="true" outlineLevel="0" collapsed="false">
      <c r="A14" s="109" t="s">
        <v>1155</v>
      </c>
      <c r="B14" s="347" t="n">
        <v>0</v>
      </c>
      <c r="C14" s="208" t="s">
        <v>1156</v>
      </c>
    </row>
    <row r="15" customFormat="false" ht="13.5" hidden="false" customHeight="true" outlineLevel="0" collapsed="false">
      <c r="A15" s="109" t="s">
        <v>1157</v>
      </c>
      <c r="B15" s="347" t="n">
        <v>0</v>
      </c>
    </row>
    <row r="16" customFormat="false" ht="13.5" hidden="false" customHeight="true" outlineLevel="0" collapsed="false">
      <c r="A16" s="109" t="s">
        <v>1158</v>
      </c>
      <c r="B16" s="347" t="n">
        <v>0</v>
      </c>
    </row>
    <row r="17" customFormat="false" ht="13.5" hidden="false" customHeight="true" outlineLevel="0" collapsed="false">
      <c r="A17" s="109" t="s">
        <v>1159</v>
      </c>
      <c r="B17" s="347" t="n">
        <v>1</v>
      </c>
    </row>
    <row r="18" customFormat="false" ht="13.5" hidden="false" customHeight="true" outlineLevel="0" collapsed="false">
      <c r="A18" s="109" t="s">
        <v>1160</v>
      </c>
      <c r="B18" s="347" t="n">
        <v>0.25</v>
      </c>
    </row>
    <row r="19" customFormat="false" ht="13.5" hidden="false" customHeight="true" outlineLevel="0" collapsed="false">
      <c r="A19" s="109" t="s">
        <v>1161</v>
      </c>
      <c r="B19" s="347" t="n">
        <v>6</v>
      </c>
      <c r="C19" s="208" t="s">
        <v>1162</v>
      </c>
    </row>
    <row r="20" customFormat="false" ht="13.5" hidden="false" customHeight="true" outlineLevel="0" collapsed="false">
      <c r="A20" s="109" t="s">
        <v>1163</v>
      </c>
      <c r="B20" s="347" t="n">
        <v>4</v>
      </c>
    </row>
    <row r="21" customFormat="false" ht="13.5" hidden="false" customHeight="true" outlineLevel="0" collapsed="false">
      <c r="A21" s="109" t="s">
        <v>1164</v>
      </c>
      <c r="B21" s="349" t="n">
        <v>0.075</v>
      </c>
    </row>
    <row r="22" customFormat="false" ht="13.5" hidden="false" customHeight="true" outlineLevel="0" collapsed="false">
      <c r="A22" s="109" t="s">
        <v>1165</v>
      </c>
      <c r="B22" s="347" t="n">
        <v>11</v>
      </c>
    </row>
    <row r="23" customFormat="false" ht="13.5" hidden="false" customHeight="true" outlineLevel="0" collapsed="false">
      <c r="A23" s="109" t="s">
        <v>1166</v>
      </c>
      <c r="B23" s="347" t="n">
        <v>13</v>
      </c>
    </row>
    <row r="25" customFormat="false" ht="13.5" hidden="false" customHeight="true" outlineLevel="0" collapsed="false">
      <c r="A25" s="209" t="s">
        <v>1167</v>
      </c>
      <c r="B25" s="210"/>
      <c r="C25" s="210"/>
      <c r="D25" s="210"/>
      <c r="E25" s="210"/>
      <c r="F25" s="210"/>
    </row>
    <row r="26" customFormat="false" ht="13.5" hidden="false" customHeight="true" outlineLevel="0" collapsed="false">
      <c r="A26" s="109" t="s">
        <v>720</v>
      </c>
      <c r="B26" s="348" t="n">
        <v>160000</v>
      </c>
    </row>
    <row r="27" customFormat="false" ht="13.5" hidden="false" customHeight="true" outlineLevel="0" collapsed="false">
      <c r="A27" s="109" t="s">
        <v>1168</v>
      </c>
      <c r="B27" s="348" t="n">
        <v>125000</v>
      </c>
    </row>
    <row r="28" customFormat="false" ht="13.5" hidden="false" customHeight="true" outlineLevel="0" collapsed="false">
      <c r="A28" s="109" t="s">
        <v>716</v>
      </c>
      <c r="B28" s="348" t="n">
        <v>130000</v>
      </c>
    </row>
    <row r="29" customFormat="false" ht="13.5" hidden="false" customHeight="true" outlineLevel="0" collapsed="false">
      <c r="A29" s="109" t="s">
        <v>660</v>
      </c>
      <c r="B29" s="348" t="n">
        <v>180000</v>
      </c>
    </row>
    <row r="30" customFormat="false" ht="13.5" hidden="false" customHeight="true" outlineLevel="0" collapsed="false">
      <c r="A30" s="109" t="s">
        <v>1169</v>
      </c>
      <c r="B30" s="348" t="n">
        <v>80000</v>
      </c>
    </row>
    <row r="32" customFormat="false" ht="13.5" hidden="false" customHeight="true" outlineLevel="0" collapsed="false">
      <c r="A32" s="209" t="s">
        <v>1170</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1171</v>
      </c>
      <c r="B36" s="210"/>
      <c r="C36" s="210"/>
      <c r="D36" s="210"/>
      <c r="E36" s="210"/>
      <c r="F36" s="210"/>
    </row>
    <row r="37" customFormat="false" ht="13.5" hidden="false" customHeight="true" outlineLevel="0" collapsed="false">
      <c r="A37" s="109" t="s">
        <v>1172</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12</v>
      </c>
      <c r="R37" s="351" t="n">
        <f aca="false">SUMPRODUCT((Projects!$G$2:$G$45="Yes")*(14&gt;=Projects!$C$2:$C$45)*(14&lt;=Projects!$W$2:$W$45))</f>
        <v>13</v>
      </c>
      <c r="S37" s="351" t="n">
        <f aca="false">SUMPRODUCT((Projects!$G$2:$G$45="Yes")*(15&gt;=Projects!$C$2:$C$45)*(15&lt;=Projects!$W$2:$W$45))</f>
        <v>14</v>
      </c>
      <c r="T37" s="351" t="n">
        <f aca="false">SUMPRODUCT((Projects!$G$2:$G$45="Yes")*(16&gt;=Projects!$C$2:$C$45)*(16&lt;=Projects!$W$2:$W$45))</f>
        <v>13</v>
      </c>
      <c r="U37" s="351" t="n">
        <f aca="false">SUMPRODUCT((Projects!$G$2:$G$45="Yes")*(17&gt;=Projects!$C$2:$C$45)*(17&lt;=Projects!$W$2:$W$45))</f>
        <v>13</v>
      </c>
      <c r="V37" s="351" t="n">
        <f aca="false">SUMPRODUCT((Projects!$G$2:$G$45="Yes")*(18&gt;=Projects!$C$2:$C$45)*(18&lt;=Projects!$W$2:$W$45))</f>
        <v>13</v>
      </c>
      <c r="W37" s="351" t="n">
        <f aca="false">SUMPRODUCT((Projects!$G$2:$G$45="Yes")*(19&gt;=Projects!$C$2:$C$45)*(19&lt;=Projects!$W$2:$W$45))</f>
        <v>13</v>
      </c>
      <c r="X37" s="351" t="n">
        <f aca="false">SUMPRODUCT((Projects!$G$2:$G$45="Yes")*(20&gt;=Projects!$C$2:$C$45)*(20&lt;=Projects!$W$2:$W$45))</f>
        <v>13</v>
      </c>
      <c r="Y37" s="351" t="n">
        <f aca="false">SUMPRODUCT((Projects!$G$2:$G$45="Yes")*(21&gt;=Projects!$C$2:$C$45)*(21&lt;=Projects!$W$2:$W$45))</f>
        <v>13</v>
      </c>
      <c r="Z37" s="351" t="n">
        <f aca="false">SUMPRODUCT((Projects!$G$2:$G$45="Yes")*(22&gt;=Projects!$C$2:$C$45)*(22&lt;=Projects!$W$2:$W$45))</f>
        <v>13</v>
      </c>
      <c r="AA37" s="351" t="n">
        <f aca="false">SUMPRODUCT((Projects!$G$2:$G$45="Yes")*(23&gt;=Projects!$C$2:$C$45)*(23&lt;=Projects!$W$2:$W$45))</f>
        <v>13</v>
      </c>
      <c r="AB37" s="351" t="n">
        <f aca="false">SUMPRODUCT((Projects!$G$2:$G$45="Yes")*(24&gt;=Projects!$C$2:$C$45)*(24&lt;=Projects!$W$2:$W$45))</f>
        <v>13</v>
      </c>
      <c r="AC37" s="351" t="n">
        <f aca="false">SUMPRODUCT((Projects!$G$2:$G$45="Yes")*(25&gt;=Projects!$C$2:$C$45)*(25&lt;=Projects!$W$2:$W$45))</f>
        <v>12</v>
      </c>
      <c r="AD37" s="351" t="n">
        <f aca="false">SUMPRODUCT((Projects!$G$2:$G$45="Yes")*(26&gt;=Projects!$C$2:$C$45)*(26&lt;=Projects!$W$2:$W$45))</f>
        <v>12</v>
      </c>
      <c r="AE37" s="351" t="n">
        <f aca="false">SUMPRODUCT((Projects!$G$2:$G$45="Yes")*(27&gt;=Projects!$C$2:$C$45)*(27&lt;=Projects!$W$2:$W$45))</f>
        <v>13</v>
      </c>
      <c r="AF37" s="351" t="n">
        <f aca="false">SUMPRODUCT((Projects!$G$2:$G$45="Yes")*(28&gt;=Projects!$C$2:$C$45)*(28&lt;=Projects!$W$2:$W$45))</f>
        <v>13</v>
      </c>
      <c r="AG37" s="351" t="n">
        <f aca="false">SUMPRODUCT((Projects!$G$2:$G$45="Yes")*(29&gt;=Projects!$C$2:$C$45)*(29&lt;=Projects!$W$2:$W$45))</f>
        <v>12</v>
      </c>
      <c r="AH37" s="351" t="n">
        <f aca="false">SUMPRODUCT((Projects!$G$2:$G$45="Yes")*(30&gt;=Projects!$C$2:$C$45)*(30&lt;=Projects!$W$2:$W$45))</f>
        <v>12</v>
      </c>
      <c r="AI37" s="351" t="n">
        <f aca="false">SUMPRODUCT((Projects!$G$2:$G$45="Yes")*(31&gt;=Projects!$C$2:$C$45)*(31&lt;=Projects!$W$2:$W$45))</f>
        <v>12</v>
      </c>
      <c r="AJ37" s="351" t="n">
        <f aca="false">SUMPRODUCT((Projects!$G$2:$G$45="Yes")*(32&gt;=Projects!$C$2:$C$45)*(32&lt;=Projects!$W$2:$W$45))</f>
        <v>13</v>
      </c>
      <c r="AK37" s="351" t="n">
        <f aca="false">SUMPRODUCT((Projects!$G$2:$G$45="Yes")*(33&gt;=Projects!$C$2:$C$45)*(33&lt;=Projects!$W$2:$W$45))</f>
        <v>12</v>
      </c>
      <c r="AL37" s="351" t="n">
        <f aca="false">SUMPRODUCT((Projects!$G$2:$G$45="Yes")*(34&gt;=Projects!$C$2:$C$45)*(34&lt;=Projects!$W$2:$W$45))</f>
        <v>13</v>
      </c>
      <c r="AM37" s="351" t="n">
        <f aca="false">SUMPRODUCT((Projects!$G$2:$G$45="Yes")*(35&gt;=Projects!$C$2:$C$45)*(35&lt;=Projects!$W$2:$W$45))</f>
        <v>14</v>
      </c>
      <c r="AN37" s="351" t="n">
        <f aca="false">SUMPRODUCT((Projects!$G$2:$G$45="Yes")*(36&gt;=Projects!$C$2:$C$45)*(36&lt;=Projects!$W$2:$W$45))</f>
        <v>15</v>
      </c>
      <c r="AO37" s="351" t="n">
        <f aca="false">SUMPRODUCT((Projects!$G$2:$G$45="Yes")*(37&gt;=Projects!$C$2:$C$45)*(37&lt;=Projects!$W$2:$W$45))</f>
        <v>14</v>
      </c>
      <c r="AP37" s="351" t="n">
        <f aca="false">SUMPRODUCT((Projects!$G$2:$G$45="Yes")*(38&gt;=Projects!$C$2:$C$45)*(38&lt;=Projects!$W$2:$W$45))</f>
        <v>14</v>
      </c>
      <c r="AQ37" s="351" t="n">
        <f aca="false">SUMPRODUCT((Projects!$G$2:$G$45="Yes")*(39&gt;=Projects!$C$2:$C$45)*(39&lt;=Projects!$W$2:$W$45))</f>
        <v>15</v>
      </c>
      <c r="AR37" s="351" t="n">
        <f aca="false">SUMPRODUCT((Projects!$G$2:$G$45="Yes")*(40&gt;=Projects!$C$2:$C$45)*(40&lt;=Projects!$W$2:$W$45))</f>
        <v>15</v>
      </c>
      <c r="AS37" s="351" t="n">
        <f aca="false">SUMPRODUCT((Projects!$G$2:$G$45="Yes")*(41&gt;=Projects!$C$2:$C$45)*(41&lt;=Projects!$W$2:$W$45))</f>
        <v>15</v>
      </c>
      <c r="AT37" s="351" t="n">
        <f aca="false">SUMPRODUCT((Projects!$G$2:$G$45="Yes")*(42&gt;=Projects!$C$2:$C$45)*(42&lt;=Projects!$W$2:$W$45))</f>
        <v>15</v>
      </c>
      <c r="AU37" s="351" t="n">
        <f aca="false">SUMPRODUCT((Projects!$G$2:$G$45="Yes")*(43&gt;=Projects!$C$2:$C$45)*(43&lt;=Projects!$W$2:$W$45))</f>
        <v>15</v>
      </c>
      <c r="AV37" s="351" t="n">
        <f aca="false">SUMPRODUCT((Projects!$G$2:$G$45="Yes")*(44&gt;=Projects!$C$2:$C$45)*(44&lt;=Projects!$W$2:$W$45))</f>
        <v>15</v>
      </c>
      <c r="AW37" s="351" t="n">
        <f aca="false">SUMPRODUCT((Projects!$G$2:$G$45="Yes")*(45&gt;=Projects!$C$2:$C$45)*(45&lt;=Projects!$W$2:$W$45))</f>
        <v>14</v>
      </c>
      <c r="AX37" s="351" t="n">
        <f aca="false">SUMPRODUCT((Projects!$G$2:$G$45="Yes")*(46&gt;=Projects!$C$2:$C$45)*(46&lt;=Projects!$W$2:$W$45))</f>
        <v>14</v>
      </c>
      <c r="AY37" s="351" t="n">
        <f aca="false">SUMPRODUCT((Projects!$G$2:$G$45="Yes")*(47&gt;=Projects!$C$2:$C$45)*(47&lt;=Projects!$W$2:$W$45))</f>
        <v>14</v>
      </c>
      <c r="AZ37" s="351" t="n">
        <f aca="false">SUMPRODUCT((Projects!$G$2:$G$45="Yes")*(48&gt;=Projects!$C$2:$C$45)*(48&lt;=Projects!$W$2:$W$45))</f>
        <v>14</v>
      </c>
      <c r="BA37" s="351" t="n">
        <f aca="false">SUMPRODUCT((Projects!$G$2:$G$45="Yes")*(49&gt;=Projects!$C$2:$C$45)*(49&lt;=Projects!$W$2:$W$45))</f>
        <v>14</v>
      </c>
      <c r="BB37" s="351" t="n">
        <f aca="false">SUMPRODUCT((Projects!$G$2:$G$45="Yes")*(50&gt;=Projects!$C$2:$C$45)*(50&lt;=Projects!$W$2:$W$45))</f>
        <v>14</v>
      </c>
      <c r="BC37" s="351" t="n">
        <f aca="false">SUMPRODUCT((Projects!$G$2:$G$45="Yes")*(51&gt;=Projects!$C$2:$C$45)*(51&lt;=Projects!$W$2:$W$45))</f>
        <v>14</v>
      </c>
      <c r="BD37" s="351" t="n">
        <f aca="false">SUMPRODUCT((Projects!$G$2:$G$45="Yes")*(52&gt;=Projects!$C$2:$C$45)*(52&lt;=Projects!$W$2:$W$45))</f>
        <v>14</v>
      </c>
      <c r="BE37" s="351" t="n">
        <f aca="false">SUMPRODUCT((Projects!$G$2:$G$45="Yes")*(53&gt;=Projects!$C$2:$C$45)*(53&lt;=Projects!$W$2:$W$45))</f>
        <v>14</v>
      </c>
      <c r="BF37" s="351" t="n">
        <f aca="false">SUMPRODUCT((Projects!$G$2:$G$45="Yes")*(54&gt;=Projects!$C$2:$C$45)*(54&lt;=Projects!$W$2:$W$45))</f>
        <v>14</v>
      </c>
      <c r="BG37" s="351" t="n">
        <f aca="false">SUMPRODUCT((Projects!$G$2:$G$45="Yes")*(55&gt;=Projects!$C$2:$C$45)*(55&lt;=Projects!$W$2:$W$45))</f>
        <v>14</v>
      </c>
      <c r="BH37" s="351" t="n">
        <f aca="false">SUMPRODUCT((Projects!$G$2:$G$45="Yes")*(56&gt;=Projects!$C$2:$C$45)*(56&lt;=Projects!$W$2:$W$45))</f>
        <v>13</v>
      </c>
      <c r="BI37" s="351" t="n">
        <f aca="false">SUMPRODUCT((Projects!$G$2:$G$45="Yes")*(57&gt;=Projects!$C$2:$C$45)*(57&lt;=Projects!$W$2:$W$45))</f>
        <v>11</v>
      </c>
      <c r="BJ37" s="351" t="n">
        <f aca="false">SUMPRODUCT((Projects!$G$2:$G$45="Yes")*(58&gt;=Projects!$C$2:$C$45)*(58&lt;=Projects!$W$2:$W$45))</f>
        <v>10</v>
      </c>
      <c r="BK37" s="351" t="n">
        <f aca="false">SUMPRODUCT((Projects!$G$2:$G$45="Yes")*(59&gt;=Projects!$C$2:$C$45)*(59&lt;=Projects!$W$2:$W$45))</f>
        <v>10</v>
      </c>
      <c r="BL37" s="351" t="n">
        <f aca="false">SUMPRODUCT((Projects!$G$2:$G$45="Yes")*(60&gt;=Projects!$C$2:$C$45)*(60&lt;=Projects!$W$2:$W$45))</f>
        <v>10</v>
      </c>
      <c r="BM37" s="351" t="n">
        <f aca="false">SUMPRODUCT((Projects!$G$2:$G$45="Yes")*(61&gt;=Projects!$C$2:$C$45)*(61&lt;=Projects!$W$2:$W$45))</f>
        <v>10</v>
      </c>
      <c r="BN37" s="351" t="n">
        <f aca="false">SUMPRODUCT((Projects!$G$2:$G$45="Yes")*(62&gt;=Projects!$C$2:$C$45)*(62&lt;=Projects!$W$2:$W$45))</f>
        <v>9</v>
      </c>
      <c r="BO37" s="351" t="n">
        <f aca="false">SUMPRODUCT((Projects!$G$2:$G$45="Yes")*(63&gt;=Projects!$C$2:$C$45)*(63&lt;=Projects!$W$2:$W$45))</f>
        <v>8</v>
      </c>
      <c r="BP37" s="351" t="n">
        <f aca="false">SUMPRODUCT((Projects!$G$2:$G$45="Yes")*(64&gt;=Projects!$C$2:$C$45)*(64&lt;=Projects!$W$2:$W$45))</f>
        <v>8</v>
      </c>
      <c r="BQ37" s="351" t="n">
        <f aca="false">SUMPRODUCT((Projects!$G$2:$G$45="Yes")*(65&gt;=Projects!$C$2:$C$45)*(65&lt;=Projects!$W$2:$W$45))</f>
        <v>8</v>
      </c>
      <c r="BR37" s="351" t="n">
        <f aca="false">SUMPRODUCT((Projects!$G$2:$G$45="Yes")*(66&gt;=Projects!$C$2:$C$45)*(66&lt;=Projects!$W$2:$W$45))</f>
        <v>8</v>
      </c>
      <c r="BS37" s="351" t="n">
        <f aca="false">SUMPRODUCT((Projects!$G$2:$G$45="Yes")*(67&gt;=Projects!$C$2:$C$45)*(67&lt;=Projects!$W$2:$W$45))</f>
        <v>7</v>
      </c>
      <c r="BT37" s="351" t="n">
        <f aca="false">SUMPRODUCT((Projects!$G$2:$G$45="Yes")*(68&gt;=Projects!$C$2:$C$45)*(68&lt;=Projects!$W$2:$W$45))</f>
        <v>6</v>
      </c>
      <c r="BU37" s="351" t="n">
        <f aca="false">SUMPRODUCT((Projects!$G$2:$G$45="Yes")*(69&gt;=Projects!$C$2:$C$45)*(69&lt;=Projects!$W$2:$W$45))</f>
        <v>5</v>
      </c>
      <c r="BV37" s="351" t="n">
        <f aca="false">SUMPRODUCT((Projects!$G$2:$G$45="Yes")*(70&gt;=Projects!$C$2:$C$45)*(70&lt;=Projects!$W$2:$W$45))</f>
        <v>4</v>
      </c>
      <c r="BW37" s="351" t="n">
        <f aca="false">SUMPRODUCT((Projects!$G$2:$G$45="Yes")*(71&gt;=Projects!$C$2:$C$45)*(71&lt;=Projects!$W$2:$W$45))</f>
        <v>3</v>
      </c>
      <c r="BX37" s="351" t="n">
        <f aca="false">SUMPRODUCT((Projects!$G$2:$G$45="Yes")*(72&gt;=Projects!$C$2:$C$45)*(72&lt;=Projects!$W$2:$W$45))</f>
        <v>2</v>
      </c>
      <c r="BY37" s="351" t="n">
        <f aca="false">SUMPRODUCT((Projects!$G$2:$G$45="Yes")*(73&gt;=Projects!$C$2:$C$45)*(73&lt;=Projects!$W$2:$W$45))</f>
        <v>1</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1173</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10.5</v>
      </c>
      <c r="R38" s="351" t="n">
        <f aca="false">SUMPRODUCT((Projects!$G$2:$G$45="Yes")*(14&gt;=Projects!$C$2:$C$45-$B$14)*(14&lt;=Projects!$W$2:$W$45+$B$17))*$B$5</f>
        <v>11.375</v>
      </c>
      <c r="S38" s="351" t="n">
        <f aca="false">SUMPRODUCT((Projects!$G$2:$G$45="Yes")*(15&gt;=Projects!$C$2:$C$45-$B$14)*(15&lt;=Projects!$W$2:$W$45+$B$17))*$B$5</f>
        <v>12.25</v>
      </c>
      <c r="T38" s="351" t="n">
        <f aca="false">SUMPRODUCT((Projects!$G$2:$G$45="Yes")*(16&gt;=Projects!$C$2:$C$45-$B$14)*(16&lt;=Projects!$W$2:$W$45+$B$17))*$B$5</f>
        <v>12.25</v>
      </c>
      <c r="U38" s="351" t="n">
        <f aca="false">SUMPRODUCT((Projects!$G$2:$G$45="Yes")*(17&gt;=Projects!$C$2:$C$45-$B$14)*(17&lt;=Projects!$W$2:$W$45+$B$17))*$B$5</f>
        <v>11.375</v>
      </c>
      <c r="V38" s="351" t="n">
        <f aca="false">SUMPRODUCT((Projects!$G$2:$G$45="Yes")*(18&gt;=Projects!$C$2:$C$45-$B$14)*(18&lt;=Projects!$W$2:$W$45+$B$17))*$B$5</f>
        <v>12.25</v>
      </c>
      <c r="W38" s="351" t="n">
        <f aca="false">SUMPRODUCT((Projects!$G$2:$G$45="Yes")*(19&gt;=Projects!$C$2:$C$45-$B$14)*(19&lt;=Projects!$W$2:$W$45+$B$17))*$B$5</f>
        <v>12.25</v>
      </c>
      <c r="X38" s="351" t="n">
        <f aca="false">SUMPRODUCT((Projects!$G$2:$G$45="Yes")*(20&gt;=Projects!$C$2:$C$45-$B$14)*(20&lt;=Projects!$W$2:$W$45+$B$17))*$B$5</f>
        <v>12.25</v>
      </c>
      <c r="Y38" s="351" t="n">
        <f aca="false">SUMPRODUCT((Projects!$G$2:$G$45="Yes")*(21&gt;=Projects!$C$2:$C$45-$B$14)*(21&lt;=Projects!$W$2:$W$45+$B$17))*$B$5</f>
        <v>11.375</v>
      </c>
      <c r="Z38" s="351" t="n">
        <f aca="false">SUMPRODUCT((Projects!$G$2:$G$45="Yes")*(22&gt;=Projects!$C$2:$C$45-$B$14)*(22&lt;=Projects!$W$2:$W$45+$B$17))*$B$5</f>
        <v>11.375</v>
      </c>
      <c r="AA38" s="351" t="n">
        <f aca="false">SUMPRODUCT((Projects!$G$2:$G$45="Yes")*(23&gt;=Projects!$C$2:$C$45-$B$14)*(23&lt;=Projects!$W$2:$W$45+$B$17))*$B$5</f>
        <v>11.375</v>
      </c>
      <c r="AB38" s="351" t="n">
        <f aca="false">SUMPRODUCT((Projects!$G$2:$G$45="Yes")*(24&gt;=Projects!$C$2:$C$45-$B$14)*(24&lt;=Projects!$W$2:$W$45+$B$17))*$B$5</f>
        <v>12.25</v>
      </c>
      <c r="AC38" s="351" t="n">
        <f aca="false">SUMPRODUCT((Projects!$G$2:$G$45="Yes")*(25&gt;=Projects!$C$2:$C$45-$B$14)*(25&lt;=Projects!$W$2:$W$45+$B$17))*$B$5</f>
        <v>11.375</v>
      </c>
      <c r="AD38" s="351" t="n">
        <f aca="false">SUMPRODUCT((Projects!$G$2:$G$45="Yes")*(26&gt;=Projects!$C$2:$C$45-$B$14)*(26&lt;=Projects!$W$2:$W$45+$B$17))*$B$5</f>
        <v>10.5</v>
      </c>
      <c r="AE38" s="351" t="n">
        <f aca="false">SUMPRODUCT((Projects!$G$2:$G$45="Yes")*(27&gt;=Projects!$C$2:$C$45-$B$14)*(27&lt;=Projects!$W$2:$W$45+$B$17))*$B$5</f>
        <v>11.375</v>
      </c>
      <c r="AF38" s="351" t="n">
        <f aca="false">SUMPRODUCT((Projects!$G$2:$G$45="Yes")*(28&gt;=Projects!$C$2:$C$45-$B$14)*(28&lt;=Projects!$W$2:$W$45+$B$17))*$B$5</f>
        <v>11.375</v>
      </c>
      <c r="AG38" s="351" t="n">
        <f aca="false">SUMPRODUCT((Projects!$G$2:$G$45="Yes")*(29&gt;=Projects!$C$2:$C$45-$B$14)*(29&lt;=Projects!$W$2:$W$45+$B$17))*$B$5</f>
        <v>12.25</v>
      </c>
      <c r="AH38" s="351" t="n">
        <f aca="false">SUMPRODUCT((Projects!$G$2:$G$45="Yes")*(30&gt;=Projects!$C$2:$C$45-$B$14)*(30&lt;=Projects!$W$2:$W$45+$B$17))*$B$5</f>
        <v>11.375</v>
      </c>
      <c r="AI38" s="351" t="n">
        <f aca="false">SUMPRODUCT((Projects!$G$2:$G$45="Yes")*(31&gt;=Projects!$C$2:$C$45-$B$14)*(31&lt;=Projects!$W$2:$W$45+$B$17))*$B$5</f>
        <v>11.375</v>
      </c>
      <c r="AJ38" s="351" t="n">
        <f aca="false">SUMPRODUCT((Projects!$G$2:$G$45="Yes")*(32&gt;=Projects!$C$2:$C$45-$B$14)*(32&lt;=Projects!$W$2:$W$45+$B$17))*$B$5</f>
        <v>11.375</v>
      </c>
      <c r="AK38" s="351" t="n">
        <f aca="false">SUMPRODUCT((Projects!$G$2:$G$45="Yes")*(33&gt;=Projects!$C$2:$C$45-$B$14)*(33&lt;=Projects!$W$2:$W$45+$B$17))*$B$5</f>
        <v>12.25</v>
      </c>
      <c r="AL38" s="351" t="n">
        <f aca="false">SUMPRODUCT((Projects!$G$2:$G$45="Yes")*(34&gt;=Projects!$C$2:$C$45-$B$14)*(34&lt;=Projects!$W$2:$W$45+$B$17))*$B$5</f>
        <v>11.375</v>
      </c>
      <c r="AM38" s="351" t="n">
        <f aca="false">SUMPRODUCT((Projects!$G$2:$G$45="Yes")*(35&gt;=Projects!$C$2:$C$45-$B$14)*(35&lt;=Projects!$W$2:$W$45+$B$17))*$B$5</f>
        <v>12.25</v>
      </c>
      <c r="AN38" s="351" t="n">
        <f aca="false">SUMPRODUCT((Projects!$G$2:$G$45="Yes")*(36&gt;=Projects!$C$2:$C$45-$B$14)*(36&lt;=Projects!$W$2:$W$45+$B$17))*$B$5</f>
        <v>13.125</v>
      </c>
      <c r="AO38" s="351" t="n">
        <f aca="false">SUMPRODUCT((Projects!$G$2:$G$45="Yes")*(37&gt;=Projects!$C$2:$C$45-$B$14)*(37&lt;=Projects!$W$2:$W$45+$B$17))*$B$5</f>
        <v>14</v>
      </c>
      <c r="AP38" s="351" t="n">
        <f aca="false">SUMPRODUCT((Projects!$G$2:$G$45="Yes")*(38&gt;=Projects!$C$2:$C$45-$B$14)*(38&lt;=Projects!$W$2:$W$45+$B$17))*$B$5</f>
        <v>13.125</v>
      </c>
      <c r="AQ38" s="351" t="n">
        <f aca="false">SUMPRODUCT((Projects!$G$2:$G$45="Yes")*(39&gt;=Projects!$C$2:$C$45-$B$14)*(39&lt;=Projects!$W$2:$W$45+$B$17))*$B$5</f>
        <v>13.125</v>
      </c>
      <c r="AR38" s="351" t="n">
        <f aca="false">SUMPRODUCT((Projects!$G$2:$G$45="Yes")*(40&gt;=Projects!$C$2:$C$45-$B$14)*(40&lt;=Projects!$W$2:$W$45+$B$17))*$B$5</f>
        <v>13.125</v>
      </c>
      <c r="AS38" s="351" t="n">
        <f aca="false">SUMPRODUCT((Projects!$G$2:$G$45="Yes")*(41&gt;=Projects!$C$2:$C$45-$B$14)*(41&lt;=Projects!$W$2:$W$45+$B$17))*$B$5</f>
        <v>13.125</v>
      </c>
      <c r="AT38" s="351" t="n">
        <f aca="false">SUMPRODUCT((Projects!$G$2:$G$45="Yes")*(42&gt;=Projects!$C$2:$C$45-$B$14)*(42&lt;=Projects!$W$2:$W$45+$B$17))*$B$5</f>
        <v>13.125</v>
      </c>
      <c r="AU38" s="351" t="n">
        <f aca="false">SUMPRODUCT((Projects!$G$2:$G$45="Yes")*(43&gt;=Projects!$C$2:$C$45-$B$14)*(43&lt;=Projects!$W$2:$W$45+$B$17))*$B$5</f>
        <v>14</v>
      </c>
      <c r="AV38" s="351" t="n">
        <f aca="false">SUMPRODUCT((Projects!$G$2:$G$45="Yes")*(44&gt;=Projects!$C$2:$C$45-$B$14)*(44&lt;=Projects!$W$2:$W$45+$B$17))*$B$5</f>
        <v>14</v>
      </c>
      <c r="AW38" s="351" t="n">
        <f aca="false">SUMPRODUCT((Projects!$G$2:$G$45="Yes")*(45&gt;=Projects!$C$2:$C$45-$B$14)*(45&lt;=Projects!$W$2:$W$45+$B$17))*$B$5</f>
        <v>13.125</v>
      </c>
      <c r="AX38" s="351" t="n">
        <f aca="false">SUMPRODUCT((Projects!$G$2:$G$45="Yes")*(46&gt;=Projects!$C$2:$C$45-$B$14)*(46&lt;=Projects!$W$2:$W$45+$B$17))*$B$5</f>
        <v>12.25</v>
      </c>
      <c r="AY38" s="351" t="n">
        <f aca="false">SUMPRODUCT((Projects!$G$2:$G$45="Yes")*(47&gt;=Projects!$C$2:$C$45-$B$14)*(47&lt;=Projects!$W$2:$W$45+$B$17))*$B$5</f>
        <v>12.25</v>
      </c>
      <c r="AZ38" s="351" t="n">
        <f aca="false">SUMPRODUCT((Projects!$G$2:$G$45="Yes")*(48&gt;=Projects!$C$2:$C$45-$B$14)*(48&lt;=Projects!$W$2:$W$45+$B$17))*$B$5</f>
        <v>13.125</v>
      </c>
      <c r="BA38" s="351" t="n">
        <f aca="false">SUMPRODUCT((Projects!$G$2:$G$45="Yes")*(49&gt;=Projects!$C$2:$C$45-$B$14)*(49&lt;=Projects!$W$2:$W$45+$B$17))*$B$5</f>
        <v>13.125</v>
      </c>
      <c r="BB38" s="351" t="n">
        <f aca="false">SUMPRODUCT((Projects!$G$2:$G$45="Yes")*(50&gt;=Projects!$C$2:$C$45-$B$14)*(50&lt;=Projects!$W$2:$W$45+$B$17))*$B$5</f>
        <v>13.125</v>
      </c>
      <c r="BC38" s="351" t="n">
        <f aca="false">SUMPRODUCT((Projects!$G$2:$G$45="Yes")*(51&gt;=Projects!$C$2:$C$45-$B$14)*(51&lt;=Projects!$W$2:$W$45+$B$17))*$B$5</f>
        <v>13.125</v>
      </c>
      <c r="BD38" s="351" t="n">
        <f aca="false">SUMPRODUCT((Projects!$G$2:$G$45="Yes")*(52&gt;=Projects!$C$2:$C$45-$B$14)*(52&lt;=Projects!$W$2:$W$45+$B$17))*$B$5</f>
        <v>13.125</v>
      </c>
      <c r="BE38" s="351" t="n">
        <f aca="false">SUMPRODUCT((Projects!$G$2:$G$45="Yes")*(53&gt;=Projects!$C$2:$C$45-$B$14)*(53&lt;=Projects!$W$2:$W$45+$B$17))*$B$5</f>
        <v>13.125</v>
      </c>
      <c r="BF38" s="351" t="n">
        <f aca="false">SUMPRODUCT((Projects!$G$2:$G$45="Yes")*(54&gt;=Projects!$C$2:$C$45-$B$14)*(54&lt;=Projects!$W$2:$W$45+$B$17))*$B$5</f>
        <v>13.125</v>
      </c>
      <c r="BG38" s="351" t="n">
        <f aca="false">SUMPRODUCT((Projects!$G$2:$G$45="Yes")*(55&gt;=Projects!$C$2:$C$45-$B$14)*(55&lt;=Projects!$W$2:$W$45+$B$17))*$B$5</f>
        <v>13.125</v>
      </c>
      <c r="BH38" s="351" t="n">
        <f aca="false">SUMPRODUCT((Projects!$G$2:$G$45="Yes")*(56&gt;=Projects!$C$2:$C$45-$B$14)*(56&lt;=Projects!$W$2:$W$45+$B$17))*$B$5</f>
        <v>12.25</v>
      </c>
      <c r="BI38" s="351" t="n">
        <f aca="false">SUMPRODUCT((Projects!$G$2:$G$45="Yes")*(57&gt;=Projects!$C$2:$C$45-$B$14)*(57&lt;=Projects!$W$2:$W$45+$B$17))*$B$5</f>
        <v>11.375</v>
      </c>
      <c r="BJ38" s="351" t="n">
        <f aca="false">SUMPRODUCT((Projects!$G$2:$G$45="Yes")*(58&gt;=Projects!$C$2:$C$45-$B$14)*(58&lt;=Projects!$W$2:$W$45+$B$17))*$B$5</f>
        <v>9.625</v>
      </c>
      <c r="BK38" s="351" t="n">
        <f aca="false">SUMPRODUCT((Projects!$G$2:$G$45="Yes")*(59&gt;=Projects!$C$2:$C$45-$B$14)*(59&lt;=Projects!$W$2:$W$45+$B$17))*$B$5</f>
        <v>8.75</v>
      </c>
      <c r="BL38" s="351" t="n">
        <f aca="false">SUMPRODUCT((Projects!$G$2:$G$45="Yes")*(60&gt;=Projects!$C$2:$C$45-$B$14)*(60&lt;=Projects!$W$2:$W$45+$B$17))*$B$5</f>
        <v>8.75</v>
      </c>
      <c r="BM38" s="351" t="n">
        <f aca="false">SUMPRODUCT((Projects!$G$2:$G$45="Yes")*(61&gt;=Projects!$C$2:$C$45-$B$14)*(61&lt;=Projects!$W$2:$W$45+$B$17))*$B$5</f>
        <v>8.75</v>
      </c>
      <c r="BN38" s="351" t="n">
        <f aca="false">SUMPRODUCT((Projects!$G$2:$G$45="Yes")*(62&gt;=Projects!$C$2:$C$45-$B$14)*(62&lt;=Projects!$W$2:$W$45+$B$17))*$B$5</f>
        <v>8.75</v>
      </c>
      <c r="BO38" s="351" t="n">
        <f aca="false">SUMPRODUCT((Projects!$G$2:$G$45="Yes")*(63&gt;=Projects!$C$2:$C$45-$B$14)*(63&lt;=Projects!$W$2:$W$45+$B$17))*$B$5</f>
        <v>7.875</v>
      </c>
      <c r="BP38" s="351" t="n">
        <f aca="false">SUMPRODUCT((Projects!$G$2:$G$45="Yes")*(64&gt;=Projects!$C$2:$C$45-$B$14)*(64&lt;=Projects!$W$2:$W$45+$B$17))*$B$5</f>
        <v>7</v>
      </c>
      <c r="BQ38" s="351" t="n">
        <f aca="false">SUMPRODUCT((Projects!$G$2:$G$45="Yes")*(65&gt;=Projects!$C$2:$C$45-$B$14)*(65&lt;=Projects!$W$2:$W$45+$B$17))*$B$5</f>
        <v>7</v>
      </c>
      <c r="BR38" s="351" t="n">
        <f aca="false">SUMPRODUCT((Projects!$G$2:$G$45="Yes")*(66&gt;=Projects!$C$2:$C$45-$B$14)*(66&lt;=Projects!$W$2:$W$45+$B$17))*$B$5</f>
        <v>7</v>
      </c>
      <c r="BS38" s="351" t="n">
        <f aca="false">SUMPRODUCT((Projects!$G$2:$G$45="Yes")*(67&gt;=Projects!$C$2:$C$45-$B$14)*(67&lt;=Projects!$W$2:$W$45+$B$17))*$B$5</f>
        <v>7</v>
      </c>
      <c r="BT38" s="351" t="n">
        <f aca="false">SUMPRODUCT((Projects!$G$2:$G$45="Yes")*(68&gt;=Projects!$C$2:$C$45-$B$14)*(68&lt;=Projects!$W$2:$W$45+$B$17))*$B$5</f>
        <v>6.125</v>
      </c>
      <c r="BU38" s="351" t="n">
        <f aca="false">SUMPRODUCT((Projects!$G$2:$G$45="Yes")*(69&gt;=Projects!$C$2:$C$45-$B$14)*(69&lt;=Projects!$W$2:$W$45+$B$17))*$B$5</f>
        <v>5.25</v>
      </c>
      <c r="BV38" s="351" t="n">
        <f aca="false">SUMPRODUCT((Projects!$G$2:$G$45="Yes")*(70&gt;=Projects!$C$2:$C$45-$B$14)*(70&lt;=Projects!$W$2:$W$45+$B$17))*$B$5</f>
        <v>4.375</v>
      </c>
      <c r="BW38" s="351" t="n">
        <f aca="false">SUMPRODUCT((Projects!$G$2:$G$45="Yes")*(71&gt;=Projects!$C$2:$C$45-$B$14)*(71&lt;=Projects!$W$2:$W$45+$B$17))*$B$5</f>
        <v>3.5</v>
      </c>
      <c r="BX38" s="351" t="n">
        <f aca="false">SUMPRODUCT((Projects!$G$2:$G$45="Yes")*(72&gt;=Projects!$C$2:$C$45-$B$14)*(72&lt;=Projects!$W$2:$W$45+$B$17))*$B$5</f>
        <v>2.625</v>
      </c>
      <c r="BY38" s="351" t="n">
        <f aca="false">SUMPRODUCT((Projects!$G$2:$G$45="Yes")*(73&gt;=Projects!$C$2:$C$45-$B$14)*(73&lt;=Projects!$W$2:$W$45+$B$17))*$B$5</f>
        <v>1.75</v>
      </c>
      <c r="BZ38" s="351" t="n">
        <f aca="false">SUMPRODUCT((Projects!$G$2:$G$45="Yes")*(74&gt;=Projects!$C$2:$C$45-$B$14)*(74&lt;=Projects!$W$2:$W$45+$B$17))*$B$5</f>
        <v>0.875</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1174</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2.9125</v>
      </c>
      <c r="R39" s="351" t="n">
        <f aca="false">SUMPRODUCT((Projects!$G$2:$G$45="Yes")*(14&gt;=Projects!$C$2:$C$45-$B$15)*((14&lt;=Projects!$W$2:$W$45-$B$106)*1+(14&gt;Projects!$W$2:$W$45-$B$106)*(14&lt;=Projects!$W$2:$W$45+$B$17)*$B$107)*((Projects!$B$2:$B$45&gt;=$B$12)*$B$6+(Projects!$B$2:$B$45&lt;$B$12)*(Projects!$B$2:$B$45&gt;=$B$13)*$B$7+(Projects!$B$2:$B$45&lt;$B$13)*$B$8))</f>
        <v>3.1625</v>
      </c>
      <c r="S39" s="351" t="n">
        <f aca="false">SUMPRODUCT((Projects!$G$2:$G$45="Yes")*(15&gt;=Projects!$C$2:$C$45-$B$15)*((15&lt;=Projects!$W$2:$W$45-$B$106)*1+(15&gt;Projects!$W$2:$W$45-$B$106)*(15&lt;=Projects!$W$2:$W$45+$B$17)*$B$107)*((Projects!$B$2:$B$45&gt;=$B$12)*$B$6+(Projects!$B$2:$B$45&lt;$B$12)*(Projects!$B$2:$B$45&gt;=$B$13)*$B$7+(Projects!$B$2:$B$45&lt;$B$13)*$B$8))</f>
        <v>3.5375</v>
      </c>
      <c r="T39" s="351" t="n">
        <f aca="false">SUMPRODUCT((Projects!$G$2:$G$45="Yes")*(16&gt;=Projects!$C$2:$C$45-$B$15)*((16&lt;=Projects!$W$2:$W$45-$B$106)*1+(16&gt;Projects!$W$2:$W$45-$B$106)*(16&lt;=Projects!$W$2:$W$45+$B$17)*$B$107)*((Projects!$B$2:$B$45&gt;=$B$12)*$B$6+(Projects!$B$2:$B$45&lt;$B$12)*(Projects!$B$2:$B$45&gt;=$B$13)*$B$7+(Projects!$B$2:$B$45&lt;$B$13)*$B$8))</f>
        <v>3.4125</v>
      </c>
      <c r="U39" s="351" t="n">
        <f aca="false">SUMPRODUCT((Projects!$G$2:$G$45="Yes")*(17&gt;=Projects!$C$2:$C$45-$B$15)*((17&lt;=Projects!$W$2:$W$45-$B$106)*1+(17&gt;Projects!$W$2:$W$45-$B$106)*(17&lt;=Projects!$W$2:$W$45+$B$17)*$B$107)*((Projects!$B$2:$B$45&gt;=$B$12)*$B$6+(Projects!$B$2:$B$45&lt;$B$12)*(Projects!$B$2:$B$45&gt;=$B$13)*$B$7+(Projects!$B$2:$B$45&lt;$B$13)*$B$8))</f>
        <v>3.205</v>
      </c>
      <c r="V39" s="351" t="n">
        <f aca="false">SUMPRODUCT((Projects!$G$2:$G$45="Yes")*(18&gt;=Projects!$C$2:$C$45-$B$15)*((18&lt;=Projects!$W$2:$W$45-$B$106)*1+(18&gt;Projects!$W$2:$W$45-$B$106)*(18&lt;=Projects!$W$2:$W$45+$B$17)*$B$107)*((Projects!$B$2:$B$45&gt;=$B$12)*$B$6+(Projects!$B$2:$B$45&lt;$B$12)*(Projects!$B$2:$B$45&gt;=$B$13)*$B$7+(Projects!$B$2:$B$45&lt;$B$13)*$B$8))</f>
        <v>3.455</v>
      </c>
      <c r="W39" s="351" t="n">
        <f aca="false">SUMPRODUCT((Projects!$G$2:$G$45="Yes")*(19&gt;=Projects!$C$2:$C$45-$B$15)*((19&lt;=Projects!$W$2:$W$45-$B$106)*1+(19&gt;Projects!$W$2:$W$45-$B$106)*(19&lt;=Projects!$W$2:$W$45+$B$17)*$B$107)*((Projects!$B$2:$B$45&gt;=$B$12)*$B$6+(Projects!$B$2:$B$45&lt;$B$12)*(Projects!$B$2:$B$45&gt;=$B$13)*$B$7+(Projects!$B$2:$B$45&lt;$B$13)*$B$8))</f>
        <v>3.58</v>
      </c>
      <c r="X39" s="351" t="n">
        <f aca="false">SUMPRODUCT((Projects!$G$2:$G$45="Yes")*(20&gt;=Projects!$C$2:$C$45-$B$15)*((20&lt;=Projects!$W$2:$W$45-$B$106)*1+(20&gt;Projects!$W$2:$W$45-$B$106)*(20&lt;=Projects!$W$2:$W$45+$B$17)*$B$107)*((Projects!$B$2:$B$45&gt;=$B$12)*$B$6+(Projects!$B$2:$B$45&lt;$B$12)*(Projects!$B$2:$B$45&gt;=$B$13)*$B$7+(Projects!$B$2:$B$45&lt;$B$13)*$B$8))</f>
        <v>3.955</v>
      </c>
      <c r="Y39" s="351" t="n">
        <f aca="false">SUMPRODUCT((Projects!$G$2:$G$45="Yes")*(21&gt;=Projects!$C$2:$C$45-$B$15)*((21&lt;=Projects!$W$2:$W$45-$B$106)*1+(21&gt;Projects!$W$2:$W$45-$B$106)*(21&lt;=Projects!$W$2:$W$45+$B$17)*$B$107)*((Projects!$B$2:$B$45&gt;=$B$12)*$B$6+(Projects!$B$2:$B$45&lt;$B$12)*(Projects!$B$2:$B$45&gt;=$B$13)*$B$7+(Projects!$B$2:$B$45&lt;$B$13)*$B$8))</f>
        <v>3.705</v>
      </c>
      <c r="Z39" s="351" t="n">
        <f aca="false">SUMPRODUCT((Projects!$G$2:$G$45="Yes")*(22&gt;=Projects!$C$2:$C$45-$B$15)*((22&lt;=Projects!$W$2:$W$45-$B$106)*1+(22&gt;Projects!$W$2:$W$45-$B$106)*(22&lt;=Projects!$W$2:$W$45+$B$17)*$B$107)*((Projects!$B$2:$B$45&gt;=$B$12)*$B$6+(Projects!$B$2:$B$45&lt;$B$12)*(Projects!$B$2:$B$45&gt;=$B$13)*$B$7+(Projects!$B$2:$B$45&lt;$B$13)*$B$8))</f>
        <v>3.58</v>
      </c>
      <c r="AA39" s="351" t="n">
        <f aca="false">SUMPRODUCT((Projects!$G$2:$G$45="Yes")*(23&gt;=Projects!$C$2:$C$45-$B$15)*((23&lt;=Projects!$W$2:$W$45-$B$106)*1+(23&gt;Projects!$W$2:$W$45-$B$106)*(23&lt;=Projects!$W$2:$W$45+$B$17)*$B$107)*((Projects!$B$2:$B$45&gt;=$B$12)*$B$6+(Projects!$B$2:$B$45&lt;$B$12)*(Projects!$B$2:$B$45&gt;=$B$13)*$B$7+(Projects!$B$2:$B$45&lt;$B$13)*$B$8))</f>
        <v>3.58</v>
      </c>
      <c r="AB39" s="351" t="n">
        <f aca="false">SUMPRODUCT((Projects!$G$2:$G$45="Yes")*(24&gt;=Projects!$C$2:$C$45-$B$15)*((24&lt;=Projects!$W$2:$W$45-$B$106)*1+(24&gt;Projects!$W$2:$W$45-$B$106)*(24&lt;=Projects!$W$2:$W$45+$B$17)*$B$107)*((Projects!$B$2:$B$45&gt;=$B$12)*$B$6+(Projects!$B$2:$B$45&lt;$B$12)*(Projects!$B$2:$B$45&gt;=$B$13)*$B$7+(Projects!$B$2:$B$45&lt;$B$13)*$B$8))</f>
        <v>3.83</v>
      </c>
      <c r="AC39" s="351" t="n">
        <f aca="false">SUMPRODUCT((Projects!$G$2:$G$45="Yes")*(25&gt;=Projects!$C$2:$C$45-$B$15)*((25&lt;=Projects!$W$2:$W$45-$B$106)*1+(25&gt;Projects!$W$2:$W$45-$B$106)*(25&lt;=Projects!$W$2:$W$45+$B$17)*$B$107)*((Projects!$B$2:$B$45&gt;=$B$12)*$B$6+(Projects!$B$2:$B$45&lt;$B$12)*(Projects!$B$2:$B$45&gt;=$B$13)*$B$7+(Projects!$B$2:$B$45&lt;$B$13)*$B$8))</f>
        <v>3.705</v>
      </c>
      <c r="AD39" s="351" t="n">
        <f aca="false">SUMPRODUCT((Projects!$G$2:$G$45="Yes")*(26&gt;=Projects!$C$2:$C$45-$B$15)*((26&lt;=Projects!$W$2:$W$45-$B$106)*1+(26&gt;Projects!$W$2:$W$45-$B$106)*(26&lt;=Projects!$W$2:$W$45+$B$17)*$B$107)*((Projects!$B$2:$B$45&gt;=$B$12)*$B$6+(Projects!$B$2:$B$45&lt;$B$12)*(Projects!$B$2:$B$45&gt;=$B$13)*$B$7+(Projects!$B$2:$B$45&lt;$B$13)*$B$8))</f>
        <v>3.3725</v>
      </c>
      <c r="AE39" s="351" t="n">
        <f aca="false">SUMPRODUCT((Projects!$G$2:$G$45="Yes")*(27&gt;=Projects!$C$2:$C$45-$B$15)*((27&lt;=Projects!$W$2:$W$45-$B$106)*1+(27&gt;Projects!$W$2:$W$45-$B$106)*(27&lt;=Projects!$W$2:$W$45+$B$17)*$B$107)*((Projects!$B$2:$B$45&gt;=$B$12)*$B$6+(Projects!$B$2:$B$45&lt;$B$12)*(Projects!$B$2:$B$45&gt;=$B$13)*$B$7+(Projects!$B$2:$B$45&lt;$B$13)*$B$8))</f>
        <v>3.79</v>
      </c>
      <c r="AF39" s="351" t="n">
        <f aca="false">SUMPRODUCT((Projects!$G$2:$G$45="Yes")*(28&gt;=Projects!$C$2:$C$45-$B$15)*((28&lt;=Projects!$W$2:$W$45-$B$106)*1+(28&gt;Projects!$W$2:$W$45-$B$106)*(28&lt;=Projects!$W$2:$W$45+$B$17)*$B$107)*((Projects!$B$2:$B$45&gt;=$B$12)*$B$6+(Projects!$B$2:$B$45&lt;$B$12)*(Projects!$B$2:$B$45&gt;=$B$13)*$B$7+(Projects!$B$2:$B$45&lt;$B$13)*$B$8))</f>
        <v>3.665</v>
      </c>
      <c r="AG39" s="351" t="n">
        <f aca="false">SUMPRODUCT((Projects!$G$2:$G$45="Yes")*(29&gt;=Projects!$C$2:$C$45-$B$15)*((29&lt;=Projects!$W$2:$W$45-$B$106)*1+(29&gt;Projects!$W$2:$W$45-$B$106)*(29&lt;=Projects!$W$2:$W$45+$B$17)*$B$107)*((Projects!$B$2:$B$45&gt;=$B$12)*$B$6+(Projects!$B$2:$B$45&lt;$B$12)*(Projects!$B$2:$B$45&gt;=$B$13)*$B$7+(Projects!$B$2:$B$45&lt;$B$13)*$B$8))</f>
        <v>3.915</v>
      </c>
      <c r="AH39" s="351" t="n">
        <f aca="false">SUMPRODUCT((Projects!$G$2:$G$45="Yes")*(30&gt;=Projects!$C$2:$C$45-$B$15)*((30&lt;=Projects!$W$2:$W$45-$B$106)*1+(30&gt;Projects!$W$2:$W$45-$B$106)*(30&lt;=Projects!$W$2:$W$45+$B$17)*$B$107)*((Projects!$B$2:$B$45&gt;=$B$12)*$B$6+(Projects!$B$2:$B$45&lt;$B$12)*(Projects!$B$2:$B$45&gt;=$B$13)*$B$7+(Projects!$B$2:$B$45&lt;$B$13)*$B$8))</f>
        <v>3.7075</v>
      </c>
      <c r="AI39" s="351" t="n">
        <f aca="false">SUMPRODUCT((Projects!$G$2:$G$45="Yes")*(31&gt;=Projects!$C$2:$C$45-$B$15)*((31&lt;=Projects!$W$2:$W$45-$B$106)*1+(31&gt;Projects!$W$2:$W$45-$B$106)*(31&lt;=Projects!$W$2:$W$45+$B$17)*$B$107)*((Projects!$B$2:$B$45&gt;=$B$12)*$B$6+(Projects!$B$2:$B$45&lt;$B$12)*(Projects!$B$2:$B$45&gt;=$B$13)*$B$7+(Projects!$B$2:$B$45&lt;$B$13)*$B$8))</f>
        <v>3.875</v>
      </c>
      <c r="AJ39" s="351" t="n">
        <f aca="false">SUMPRODUCT((Projects!$G$2:$G$45="Yes")*(32&gt;=Projects!$C$2:$C$45-$B$15)*((32&lt;=Projects!$W$2:$W$45-$B$106)*1+(32&gt;Projects!$W$2:$W$45-$B$106)*(32&lt;=Projects!$W$2:$W$45+$B$17)*$B$107)*((Projects!$B$2:$B$45&gt;=$B$12)*$B$6+(Projects!$B$2:$B$45&lt;$B$12)*(Projects!$B$2:$B$45&gt;=$B$13)*$B$7+(Projects!$B$2:$B$45&lt;$B$13)*$B$8))</f>
        <v>4</v>
      </c>
      <c r="AK39" s="351" t="n">
        <f aca="false">SUMPRODUCT((Projects!$G$2:$G$45="Yes")*(33&gt;=Projects!$C$2:$C$45-$B$15)*((33&lt;=Projects!$W$2:$W$45-$B$106)*1+(33&gt;Projects!$W$2:$W$45-$B$106)*(33&lt;=Projects!$W$2:$W$45+$B$17)*$B$107)*((Projects!$B$2:$B$45&gt;=$B$12)*$B$6+(Projects!$B$2:$B$45&lt;$B$12)*(Projects!$B$2:$B$45&gt;=$B$13)*$B$7+(Projects!$B$2:$B$45&lt;$B$13)*$B$8))</f>
        <v>4.25</v>
      </c>
      <c r="AL39" s="351" t="n">
        <f aca="false">SUMPRODUCT((Projects!$G$2:$G$45="Yes")*(34&gt;=Projects!$C$2:$C$45-$B$15)*((34&lt;=Projects!$W$2:$W$45-$B$106)*1+(34&gt;Projects!$W$2:$W$45-$B$106)*(34&lt;=Projects!$W$2:$W$45+$B$17)*$B$107)*((Projects!$B$2:$B$45&gt;=$B$12)*$B$6+(Projects!$B$2:$B$45&lt;$B$12)*(Projects!$B$2:$B$45&gt;=$B$13)*$B$7+(Projects!$B$2:$B$45&lt;$B$13)*$B$8))</f>
        <v>3.875</v>
      </c>
      <c r="AM39" s="351" t="n">
        <f aca="false">SUMPRODUCT((Projects!$G$2:$G$45="Yes")*(35&gt;=Projects!$C$2:$C$45-$B$15)*((35&lt;=Projects!$W$2:$W$45-$B$106)*1+(35&gt;Projects!$W$2:$W$45-$B$106)*(35&lt;=Projects!$W$2:$W$45+$B$17)*$B$107)*((Projects!$B$2:$B$45&gt;=$B$12)*$B$6+(Projects!$B$2:$B$45&lt;$B$12)*(Projects!$B$2:$B$45&gt;=$B$13)*$B$7+(Projects!$B$2:$B$45&lt;$B$13)*$B$8))</f>
        <v>4</v>
      </c>
      <c r="AN39" s="351" t="n">
        <f aca="false">SUMPRODUCT((Projects!$G$2:$G$45="Yes")*(36&gt;=Projects!$C$2:$C$45-$B$15)*((36&lt;=Projects!$W$2:$W$45-$B$106)*1+(36&gt;Projects!$W$2:$W$45-$B$106)*(36&lt;=Projects!$W$2:$W$45+$B$17)*$B$107)*((Projects!$B$2:$B$45&gt;=$B$12)*$B$6+(Projects!$B$2:$B$45&lt;$B$12)*(Projects!$B$2:$B$45&gt;=$B$13)*$B$7+(Projects!$B$2:$B$45&lt;$B$13)*$B$8))</f>
        <v>4.25</v>
      </c>
      <c r="AO39" s="351" t="n">
        <f aca="false">SUMPRODUCT((Projects!$G$2:$G$45="Yes")*(37&gt;=Projects!$C$2:$C$45-$B$15)*((37&lt;=Projects!$W$2:$W$45-$B$106)*1+(37&gt;Projects!$W$2:$W$45-$B$106)*(37&lt;=Projects!$W$2:$W$45+$B$17)*$B$107)*((Projects!$B$2:$B$45&gt;=$B$12)*$B$6+(Projects!$B$2:$B$45&lt;$B$12)*(Projects!$B$2:$B$45&gt;=$B$13)*$B$7+(Projects!$B$2:$B$45&lt;$B$13)*$B$8))</f>
        <v>4.5</v>
      </c>
      <c r="AP39" s="351" t="n">
        <f aca="false">SUMPRODUCT((Projects!$G$2:$G$45="Yes")*(38&gt;=Projects!$C$2:$C$45-$B$15)*((38&lt;=Projects!$W$2:$W$45-$B$106)*1+(38&gt;Projects!$W$2:$W$45-$B$106)*(38&lt;=Projects!$W$2:$W$45+$B$17)*$B$107)*((Projects!$B$2:$B$45&gt;=$B$12)*$B$6+(Projects!$B$2:$B$45&lt;$B$12)*(Projects!$B$2:$B$45&gt;=$B$13)*$B$7+(Projects!$B$2:$B$45&lt;$B$13)*$B$8))</f>
        <v>4.375</v>
      </c>
      <c r="AQ39" s="351" t="n">
        <f aca="false">SUMPRODUCT((Projects!$G$2:$G$45="Yes")*(39&gt;=Projects!$C$2:$C$45-$B$15)*((39&lt;=Projects!$W$2:$W$45-$B$106)*1+(39&gt;Projects!$W$2:$W$45-$B$106)*(39&lt;=Projects!$W$2:$W$45+$B$17)*$B$107)*((Projects!$B$2:$B$45&gt;=$B$12)*$B$6+(Projects!$B$2:$B$45&lt;$B$12)*(Projects!$B$2:$B$45&gt;=$B$13)*$B$7+(Projects!$B$2:$B$45&lt;$B$13)*$B$8))</f>
        <v>4.5</v>
      </c>
      <c r="AR39" s="351" t="n">
        <f aca="false">SUMPRODUCT((Projects!$G$2:$G$45="Yes")*(40&gt;=Projects!$C$2:$C$45-$B$15)*((40&lt;=Projects!$W$2:$W$45-$B$106)*1+(40&gt;Projects!$W$2:$W$45-$B$106)*(40&lt;=Projects!$W$2:$W$45+$B$17)*$B$107)*((Projects!$B$2:$B$45&gt;=$B$12)*$B$6+(Projects!$B$2:$B$45&lt;$B$12)*(Projects!$B$2:$B$45&gt;=$B$13)*$B$7+(Projects!$B$2:$B$45&lt;$B$13)*$B$8))</f>
        <v>4.375</v>
      </c>
      <c r="AS39" s="351" t="n">
        <f aca="false">SUMPRODUCT((Projects!$G$2:$G$45="Yes")*(41&gt;=Projects!$C$2:$C$45-$B$15)*((41&lt;=Projects!$W$2:$W$45-$B$106)*1+(41&gt;Projects!$W$2:$W$45-$B$106)*(41&lt;=Projects!$W$2:$W$45+$B$17)*$B$107)*((Projects!$B$2:$B$45&gt;=$B$12)*$B$6+(Projects!$B$2:$B$45&lt;$B$12)*(Projects!$B$2:$B$45&gt;=$B$13)*$B$7+(Projects!$B$2:$B$45&lt;$B$13)*$B$8))</f>
        <v>4.125</v>
      </c>
      <c r="AT39" s="351" t="n">
        <f aca="false">SUMPRODUCT((Projects!$G$2:$G$45="Yes")*(42&gt;=Projects!$C$2:$C$45-$B$15)*((42&lt;=Projects!$W$2:$W$45-$B$106)*1+(42&gt;Projects!$W$2:$W$45-$B$106)*(42&lt;=Projects!$W$2:$W$45+$B$17)*$B$107)*((Projects!$B$2:$B$45&gt;=$B$12)*$B$6+(Projects!$B$2:$B$45&lt;$B$12)*(Projects!$B$2:$B$45&gt;=$B$13)*$B$7+(Projects!$B$2:$B$45&lt;$B$13)*$B$8))</f>
        <v>3.875</v>
      </c>
      <c r="AU39" s="351" t="n">
        <f aca="false">SUMPRODUCT((Projects!$G$2:$G$45="Yes")*(43&gt;=Projects!$C$2:$C$45-$B$15)*((43&lt;=Projects!$W$2:$W$45-$B$106)*1+(43&gt;Projects!$W$2:$W$45-$B$106)*(43&lt;=Projects!$W$2:$W$45+$B$17)*$B$107)*((Projects!$B$2:$B$45&gt;=$B$12)*$B$6+(Projects!$B$2:$B$45&lt;$B$12)*(Projects!$B$2:$B$45&gt;=$B$13)*$B$7+(Projects!$B$2:$B$45&lt;$B$13)*$B$8))</f>
        <v>4.125</v>
      </c>
      <c r="AV39" s="351" t="n">
        <f aca="false">SUMPRODUCT((Projects!$G$2:$G$45="Yes")*(44&gt;=Projects!$C$2:$C$45-$B$15)*((44&lt;=Projects!$W$2:$W$45-$B$106)*1+(44&gt;Projects!$W$2:$W$45-$B$106)*(44&lt;=Projects!$W$2:$W$45+$B$17)*$B$107)*((Projects!$B$2:$B$45&gt;=$B$12)*$B$6+(Projects!$B$2:$B$45&lt;$B$12)*(Projects!$B$2:$B$45&gt;=$B$13)*$B$7+(Projects!$B$2:$B$45&lt;$B$13)*$B$8))</f>
        <v>4.25</v>
      </c>
      <c r="AW39" s="351" t="n">
        <f aca="false">SUMPRODUCT((Projects!$G$2:$G$45="Yes")*(45&gt;=Projects!$C$2:$C$45-$B$15)*((45&lt;=Projects!$W$2:$W$45-$B$106)*1+(45&gt;Projects!$W$2:$W$45-$B$106)*(45&lt;=Projects!$W$2:$W$45+$B$17)*$B$107)*((Projects!$B$2:$B$45&gt;=$B$12)*$B$6+(Projects!$B$2:$B$45&lt;$B$12)*(Projects!$B$2:$B$45&gt;=$B$13)*$B$7+(Projects!$B$2:$B$45&lt;$B$13)*$B$8))</f>
        <v>3.875</v>
      </c>
      <c r="AX39" s="351" t="n">
        <f aca="false">SUMPRODUCT((Projects!$G$2:$G$45="Yes")*(46&gt;=Projects!$C$2:$C$45-$B$15)*((46&lt;=Projects!$W$2:$W$45-$B$106)*1+(46&gt;Projects!$W$2:$W$45-$B$106)*(46&lt;=Projects!$W$2:$W$45+$B$17)*$B$107)*((Projects!$B$2:$B$45&gt;=$B$12)*$B$6+(Projects!$B$2:$B$45&lt;$B$12)*(Projects!$B$2:$B$45&gt;=$B$13)*$B$7+(Projects!$B$2:$B$45&lt;$B$13)*$B$8))</f>
        <v>3.5</v>
      </c>
      <c r="AY39" s="351" t="n">
        <f aca="false">SUMPRODUCT((Projects!$G$2:$G$45="Yes")*(47&gt;=Projects!$C$2:$C$45-$B$15)*((47&lt;=Projects!$W$2:$W$45-$B$106)*1+(47&gt;Projects!$W$2:$W$45-$B$106)*(47&lt;=Projects!$W$2:$W$45+$B$17)*$B$107)*((Projects!$B$2:$B$45&gt;=$B$12)*$B$6+(Projects!$B$2:$B$45&lt;$B$12)*(Projects!$B$2:$B$45&gt;=$B$13)*$B$7+(Projects!$B$2:$B$45&lt;$B$13)*$B$8))</f>
        <v>3.375</v>
      </c>
      <c r="AZ39" s="351" t="n">
        <f aca="false">SUMPRODUCT((Projects!$G$2:$G$45="Yes")*(48&gt;=Projects!$C$2:$C$45-$B$15)*((48&lt;=Projects!$W$2:$W$45-$B$106)*1+(48&gt;Projects!$W$2:$W$45-$B$106)*(48&lt;=Projects!$W$2:$W$45+$B$17)*$B$107)*((Projects!$B$2:$B$45&gt;=$B$12)*$B$6+(Projects!$B$2:$B$45&lt;$B$12)*(Projects!$B$2:$B$45&gt;=$B$13)*$B$7+(Projects!$B$2:$B$45&lt;$B$13)*$B$8))</f>
        <v>3.5</v>
      </c>
      <c r="BA39" s="351" t="n">
        <f aca="false">SUMPRODUCT((Projects!$G$2:$G$45="Yes")*(49&gt;=Projects!$C$2:$C$45-$B$15)*((49&lt;=Projects!$W$2:$W$45-$B$106)*1+(49&gt;Projects!$W$2:$W$45-$B$106)*(49&lt;=Projects!$W$2:$W$45+$B$17)*$B$107)*((Projects!$B$2:$B$45&gt;=$B$12)*$B$6+(Projects!$B$2:$B$45&lt;$B$12)*(Projects!$B$2:$B$45&gt;=$B$13)*$B$7+(Projects!$B$2:$B$45&lt;$B$13)*$B$8))</f>
        <v>3.5</v>
      </c>
      <c r="BB39" s="351" t="n">
        <f aca="false">SUMPRODUCT((Projects!$G$2:$G$45="Yes")*(50&gt;=Projects!$C$2:$C$45-$B$15)*((50&lt;=Projects!$W$2:$W$45-$B$106)*1+(50&gt;Projects!$W$2:$W$45-$B$106)*(50&lt;=Projects!$W$2:$W$45+$B$17)*$B$107)*((Projects!$B$2:$B$45&gt;=$B$12)*$B$6+(Projects!$B$2:$B$45&lt;$B$12)*(Projects!$B$2:$B$45&gt;=$B$13)*$B$7+(Projects!$B$2:$B$45&lt;$B$13)*$B$8))</f>
        <v>3.5</v>
      </c>
      <c r="BC39" s="351" t="n">
        <f aca="false">SUMPRODUCT((Projects!$G$2:$G$45="Yes")*(51&gt;=Projects!$C$2:$C$45-$B$15)*((51&lt;=Projects!$W$2:$W$45-$B$106)*1+(51&gt;Projects!$W$2:$W$45-$B$106)*(51&lt;=Projects!$W$2:$W$45+$B$17)*$B$107)*((Projects!$B$2:$B$45&gt;=$B$12)*$B$6+(Projects!$B$2:$B$45&lt;$B$12)*(Projects!$B$2:$B$45&gt;=$B$13)*$B$7+(Projects!$B$2:$B$45&lt;$B$13)*$B$8))</f>
        <v>3.5</v>
      </c>
      <c r="BD39" s="351" t="n">
        <f aca="false">SUMPRODUCT((Projects!$G$2:$G$45="Yes")*(52&gt;=Projects!$C$2:$C$45-$B$15)*((52&lt;=Projects!$W$2:$W$45-$B$106)*1+(52&gt;Projects!$W$2:$W$45-$B$106)*(52&lt;=Projects!$W$2:$W$45+$B$17)*$B$107)*((Projects!$B$2:$B$45&gt;=$B$12)*$B$6+(Projects!$B$2:$B$45&lt;$B$12)*(Projects!$B$2:$B$45&gt;=$B$13)*$B$7+(Projects!$B$2:$B$45&lt;$B$13)*$B$8))</f>
        <v>3.5</v>
      </c>
      <c r="BE39" s="351" t="n">
        <f aca="false">SUMPRODUCT((Projects!$G$2:$G$45="Yes")*(53&gt;=Projects!$C$2:$C$45-$B$15)*((53&lt;=Projects!$W$2:$W$45-$B$106)*1+(53&gt;Projects!$W$2:$W$45-$B$106)*(53&lt;=Projects!$W$2:$W$45+$B$17)*$B$107)*((Projects!$B$2:$B$45&gt;=$B$12)*$B$6+(Projects!$B$2:$B$45&lt;$B$12)*(Projects!$B$2:$B$45&gt;=$B$13)*$B$7+(Projects!$B$2:$B$45&lt;$B$13)*$B$8))</f>
        <v>3.5</v>
      </c>
      <c r="BF39" s="351" t="n">
        <f aca="false">SUMPRODUCT((Projects!$G$2:$G$45="Yes")*(54&gt;=Projects!$C$2:$C$45-$B$15)*((54&lt;=Projects!$W$2:$W$45-$B$106)*1+(54&gt;Projects!$W$2:$W$45-$B$106)*(54&lt;=Projects!$W$2:$W$45+$B$17)*$B$107)*((Projects!$B$2:$B$45&gt;=$B$12)*$B$6+(Projects!$B$2:$B$45&lt;$B$12)*(Projects!$B$2:$B$45&gt;=$B$13)*$B$7+(Projects!$B$2:$B$45&lt;$B$13)*$B$8))</f>
        <v>3.25</v>
      </c>
      <c r="BG39" s="351" t="n">
        <f aca="false">SUMPRODUCT((Projects!$G$2:$G$45="Yes")*(55&gt;=Projects!$C$2:$C$45-$B$15)*((55&lt;=Projects!$W$2:$W$45-$B$106)*1+(55&gt;Projects!$W$2:$W$45-$B$106)*(55&lt;=Projects!$W$2:$W$45+$B$17)*$B$107)*((Projects!$B$2:$B$45&gt;=$B$12)*$B$6+(Projects!$B$2:$B$45&lt;$B$12)*(Projects!$B$2:$B$45&gt;=$B$13)*$B$7+(Projects!$B$2:$B$45&lt;$B$13)*$B$8))</f>
        <v>3.25</v>
      </c>
      <c r="BH39" s="351" t="n">
        <f aca="false">SUMPRODUCT((Projects!$G$2:$G$45="Yes")*(56&gt;=Projects!$C$2:$C$45-$B$15)*((56&lt;=Projects!$W$2:$W$45-$B$106)*1+(56&gt;Projects!$W$2:$W$45-$B$106)*(56&lt;=Projects!$W$2:$W$45+$B$17)*$B$107)*((Projects!$B$2:$B$45&gt;=$B$12)*$B$6+(Projects!$B$2:$B$45&lt;$B$12)*(Projects!$B$2:$B$45&gt;=$B$13)*$B$7+(Projects!$B$2:$B$45&lt;$B$13)*$B$8))</f>
        <v>3.125</v>
      </c>
      <c r="BI39" s="351" t="n">
        <f aca="false">SUMPRODUCT((Projects!$G$2:$G$45="Yes")*(57&gt;=Projects!$C$2:$C$45-$B$15)*((57&lt;=Projects!$W$2:$W$45-$B$106)*1+(57&gt;Projects!$W$2:$W$45-$B$106)*(57&lt;=Projects!$W$2:$W$45+$B$17)*$B$107)*((Projects!$B$2:$B$45&gt;=$B$12)*$B$6+(Projects!$B$2:$B$45&lt;$B$12)*(Projects!$B$2:$B$45&gt;=$B$13)*$B$7+(Projects!$B$2:$B$45&lt;$B$13)*$B$8))</f>
        <v>3</v>
      </c>
      <c r="BJ39" s="351" t="n">
        <f aca="false">SUMPRODUCT((Projects!$G$2:$G$45="Yes")*(58&gt;=Projects!$C$2:$C$45-$B$15)*((58&lt;=Projects!$W$2:$W$45-$B$106)*1+(58&gt;Projects!$W$2:$W$45-$B$106)*(58&lt;=Projects!$W$2:$W$45+$B$17)*$B$107)*((Projects!$B$2:$B$45&gt;=$B$12)*$B$6+(Projects!$B$2:$B$45&lt;$B$12)*(Projects!$B$2:$B$45&gt;=$B$13)*$B$7+(Projects!$B$2:$B$45&lt;$B$13)*$B$8))</f>
        <v>2.625</v>
      </c>
      <c r="BK39" s="351" t="n">
        <f aca="false">SUMPRODUCT((Projects!$G$2:$G$45="Yes")*(59&gt;=Projects!$C$2:$C$45-$B$15)*((59&lt;=Projects!$W$2:$W$45-$B$106)*1+(59&gt;Projects!$W$2:$W$45-$B$106)*(59&lt;=Projects!$W$2:$W$45+$B$17)*$B$107)*((Projects!$B$2:$B$45&gt;=$B$12)*$B$6+(Projects!$B$2:$B$45&lt;$B$12)*(Projects!$B$2:$B$45&gt;=$B$13)*$B$7+(Projects!$B$2:$B$45&lt;$B$13)*$B$8))</f>
        <v>2.375</v>
      </c>
      <c r="BL39" s="351" t="n">
        <f aca="false">SUMPRODUCT((Projects!$G$2:$G$45="Yes")*(60&gt;=Projects!$C$2:$C$45-$B$15)*((60&lt;=Projects!$W$2:$W$45-$B$106)*1+(60&gt;Projects!$W$2:$W$45-$B$106)*(60&lt;=Projects!$W$2:$W$45+$B$17)*$B$107)*((Projects!$B$2:$B$45&gt;=$B$12)*$B$6+(Projects!$B$2:$B$45&lt;$B$12)*(Projects!$B$2:$B$45&gt;=$B$13)*$B$7+(Projects!$B$2:$B$45&lt;$B$13)*$B$8))</f>
        <v>2.25</v>
      </c>
      <c r="BM39" s="351" t="n">
        <f aca="false">SUMPRODUCT((Projects!$G$2:$G$45="Yes")*(61&gt;=Projects!$C$2:$C$45-$B$15)*((61&lt;=Projects!$W$2:$W$45-$B$106)*1+(61&gt;Projects!$W$2:$W$45-$B$106)*(61&lt;=Projects!$W$2:$W$45+$B$17)*$B$107)*((Projects!$B$2:$B$45&gt;=$B$12)*$B$6+(Projects!$B$2:$B$45&lt;$B$12)*(Projects!$B$2:$B$45&gt;=$B$13)*$B$7+(Projects!$B$2:$B$45&lt;$B$13)*$B$8))</f>
        <v>2.25</v>
      </c>
      <c r="BN39" s="351" t="n">
        <f aca="false">SUMPRODUCT((Projects!$G$2:$G$45="Yes")*(62&gt;=Projects!$C$2:$C$45-$B$15)*((62&lt;=Projects!$W$2:$W$45-$B$106)*1+(62&gt;Projects!$W$2:$W$45-$B$106)*(62&lt;=Projects!$W$2:$W$45+$B$17)*$B$107)*((Projects!$B$2:$B$45&gt;=$B$12)*$B$6+(Projects!$B$2:$B$45&lt;$B$12)*(Projects!$B$2:$B$45&gt;=$B$13)*$B$7+(Projects!$B$2:$B$45&lt;$B$13)*$B$8))</f>
        <v>2.25</v>
      </c>
      <c r="BO39" s="351" t="n">
        <f aca="false">SUMPRODUCT((Projects!$G$2:$G$45="Yes")*(63&gt;=Projects!$C$2:$C$45-$B$15)*((63&lt;=Projects!$W$2:$W$45-$B$106)*1+(63&gt;Projects!$W$2:$W$45-$B$106)*(63&lt;=Projects!$W$2:$W$45+$B$17)*$B$107)*((Projects!$B$2:$B$45&gt;=$B$12)*$B$6+(Projects!$B$2:$B$45&lt;$B$12)*(Projects!$B$2:$B$45&gt;=$B$13)*$B$7+(Projects!$B$2:$B$45&lt;$B$13)*$B$8))</f>
        <v>2.125</v>
      </c>
      <c r="BP39" s="351" t="n">
        <f aca="false">SUMPRODUCT((Projects!$G$2:$G$45="Yes")*(64&gt;=Projects!$C$2:$C$45-$B$15)*((64&lt;=Projects!$W$2:$W$45-$B$106)*1+(64&gt;Projects!$W$2:$W$45-$B$106)*(64&lt;=Projects!$W$2:$W$45+$B$17)*$B$107)*((Projects!$B$2:$B$45&gt;=$B$12)*$B$6+(Projects!$B$2:$B$45&lt;$B$12)*(Projects!$B$2:$B$45&gt;=$B$13)*$B$7+(Projects!$B$2:$B$45&lt;$B$13)*$B$8))</f>
        <v>1.875</v>
      </c>
      <c r="BQ39" s="351" t="n">
        <f aca="false">SUMPRODUCT((Projects!$G$2:$G$45="Yes")*(65&gt;=Projects!$C$2:$C$45-$B$15)*((65&lt;=Projects!$W$2:$W$45-$B$106)*1+(65&gt;Projects!$W$2:$W$45-$B$106)*(65&lt;=Projects!$W$2:$W$45+$B$17)*$B$107)*((Projects!$B$2:$B$45&gt;=$B$12)*$B$6+(Projects!$B$2:$B$45&lt;$B$12)*(Projects!$B$2:$B$45&gt;=$B$13)*$B$7+(Projects!$B$2:$B$45&lt;$B$13)*$B$8))</f>
        <v>1.75</v>
      </c>
      <c r="BR39" s="351" t="n">
        <f aca="false">SUMPRODUCT((Projects!$G$2:$G$45="Yes")*(66&gt;=Projects!$C$2:$C$45-$B$15)*((66&lt;=Projects!$W$2:$W$45-$B$106)*1+(66&gt;Projects!$W$2:$W$45-$B$106)*(66&lt;=Projects!$W$2:$W$45+$B$17)*$B$107)*((Projects!$B$2:$B$45&gt;=$B$12)*$B$6+(Projects!$B$2:$B$45&lt;$B$12)*(Projects!$B$2:$B$45&gt;=$B$13)*$B$7+(Projects!$B$2:$B$45&lt;$B$13)*$B$8))</f>
        <v>1.625</v>
      </c>
      <c r="BS39" s="351" t="n">
        <f aca="false">SUMPRODUCT((Projects!$G$2:$G$45="Yes")*(67&gt;=Projects!$C$2:$C$45-$B$15)*((67&lt;=Projects!$W$2:$W$45-$B$106)*1+(67&gt;Projects!$W$2:$W$45-$B$106)*(67&lt;=Projects!$W$2:$W$45+$B$17)*$B$107)*((Projects!$B$2:$B$45&gt;=$B$12)*$B$6+(Projects!$B$2:$B$45&lt;$B$12)*(Projects!$B$2:$B$45&gt;=$B$13)*$B$7+(Projects!$B$2:$B$45&lt;$B$13)*$B$8))</f>
        <v>1.5</v>
      </c>
      <c r="BT39" s="351" t="n">
        <f aca="false">SUMPRODUCT((Projects!$G$2:$G$45="Yes")*(68&gt;=Projects!$C$2:$C$45-$B$15)*((68&lt;=Projects!$W$2:$W$45-$B$106)*1+(68&gt;Projects!$W$2:$W$45-$B$106)*(68&lt;=Projects!$W$2:$W$45+$B$17)*$B$107)*((Projects!$B$2:$B$45&gt;=$B$12)*$B$6+(Projects!$B$2:$B$45&lt;$B$12)*(Projects!$B$2:$B$45&gt;=$B$13)*$B$7+(Projects!$B$2:$B$45&lt;$B$13)*$B$8))</f>
        <v>1.25</v>
      </c>
      <c r="BU39" s="351" t="n">
        <f aca="false">SUMPRODUCT((Projects!$G$2:$G$45="Yes")*(69&gt;=Projects!$C$2:$C$45-$B$15)*((69&lt;=Projects!$W$2:$W$45-$B$106)*1+(69&gt;Projects!$W$2:$W$45-$B$106)*(69&lt;=Projects!$W$2:$W$45+$B$17)*$B$107)*((Projects!$B$2:$B$45&gt;=$B$12)*$B$6+(Projects!$B$2:$B$45&lt;$B$12)*(Projects!$B$2:$B$45&gt;=$B$13)*$B$7+(Projects!$B$2:$B$45&lt;$B$13)*$B$8))</f>
        <v>1</v>
      </c>
      <c r="BV39" s="351" t="n">
        <f aca="false">SUMPRODUCT((Projects!$G$2:$G$45="Yes")*(70&gt;=Projects!$C$2:$C$45-$B$15)*((70&lt;=Projects!$W$2:$W$45-$B$106)*1+(70&gt;Projects!$W$2:$W$45-$B$106)*(70&lt;=Projects!$W$2:$W$45+$B$17)*$B$107)*((Projects!$B$2:$B$45&gt;=$B$12)*$B$6+(Projects!$B$2:$B$45&lt;$B$12)*(Projects!$B$2:$B$45&gt;=$B$13)*$B$7+(Projects!$B$2:$B$45&lt;$B$13)*$B$8))</f>
        <v>0.75</v>
      </c>
      <c r="BW39" s="351" t="n">
        <f aca="false">SUMPRODUCT((Projects!$G$2:$G$45="Yes")*(71&gt;=Projects!$C$2:$C$45-$B$15)*((71&lt;=Projects!$W$2:$W$45-$B$106)*1+(71&gt;Projects!$W$2:$W$45-$B$106)*(71&lt;=Projects!$W$2:$W$45+$B$17)*$B$107)*((Projects!$B$2:$B$45&gt;=$B$12)*$B$6+(Projects!$B$2:$B$45&lt;$B$12)*(Projects!$B$2:$B$45&gt;=$B$13)*$B$7+(Projects!$B$2:$B$45&lt;$B$13)*$B$8))</f>
        <v>0.5</v>
      </c>
      <c r="BX39" s="351" t="n">
        <f aca="false">SUMPRODUCT((Projects!$G$2:$G$45="Yes")*(72&gt;=Projects!$C$2:$C$45-$B$15)*((72&lt;=Projects!$W$2:$W$45-$B$106)*1+(72&gt;Projects!$W$2:$W$45-$B$106)*(72&lt;=Projects!$W$2:$W$45+$B$17)*$B$107)*((Projects!$B$2:$B$45&gt;=$B$12)*$B$6+(Projects!$B$2:$B$45&lt;$B$12)*(Projects!$B$2:$B$45&gt;=$B$13)*$B$7+(Projects!$B$2:$B$45&lt;$B$13)*$B$8))</f>
        <v>0.375</v>
      </c>
      <c r="BY39" s="351" t="n">
        <f aca="false">SUMPRODUCT((Projects!$G$2:$G$45="Yes")*(73&gt;=Projects!$C$2:$C$45-$B$15)*((73&lt;=Projects!$W$2:$W$45-$B$106)*1+(73&gt;Projects!$W$2:$W$45-$B$106)*(73&lt;=Projects!$W$2:$W$45+$B$17)*$B$107)*((Projects!$B$2:$B$45&gt;=$B$12)*$B$6+(Projects!$B$2:$B$45&lt;$B$12)*(Projects!$B$2:$B$45&gt;=$B$13)*$B$7+(Projects!$B$2:$B$45&lt;$B$13)*$B$8))</f>
        <v>0.25</v>
      </c>
      <c r="BZ39" s="351" t="n">
        <f aca="false">SUMPRODUCT((Projects!$G$2:$G$45="Yes")*(74&gt;=Projects!$C$2:$C$45-$B$15)*((74&lt;=Projects!$W$2:$W$45-$B$106)*1+(74&gt;Projects!$W$2:$W$45-$B$106)*(74&lt;=Projects!$W$2:$W$45+$B$17)*$B$107)*((Projects!$B$2:$B$45&gt;=$B$12)*$B$6+(Projects!$B$2:$B$45&lt;$B$12)*(Projects!$B$2:$B$45&gt;=$B$13)*$B$7+(Projects!$B$2:$B$45&lt;$B$13)*$B$8))</f>
        <v>0.125</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1175</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3.35</v>
      </c>
      <c r="R40" s="351" t="n">
        <f aca="false">SUMPRODUCT((Projects!$G$2:$G$45="Yes")*(14&gt;=Projects!$C$2:$C$45-$B$16)*((14&lt;=Projects!$W$2:$W$45-$B$106)*1+(14&gt;Projects!$W$2:$W$45-$B$106)*(14&lt;=Projects!$W$2:$W$45+$B$17)*$B$107)*((Projects!$B$2:$B$45&gt;=$B$12)*$B$9+(Projects!$B$2:$B$45&lt;$B$12)*(Projects!$B$2:$B$45&gt;=$B$13)*$B$10+(Projects!$B$2:$B$45&lt;$B$13)*$B$11))</f>
        <v>3.55</v>
      </c>
      <c r="S40" s="351" t="n">
        <f aca="false">SUMPRODUCT((Projects!$G$2:$G$45="Yes")*(15&gt;=Projects!$C$2:$C$45-$B$16)*((15&lt;=Projects!$W$2:$W$45-$B$106)*1+(15&gt;Projects!$W$2:$W$45-$B$106)*(15&lt;=Projects!$W$2:$W$45+$B$17)*$B$107)*((Projects!$B$2:$B$45&gt;=$B$12)*$B$9+(Projects!$B$2:$B$45&lt;$B$12)*(Projects!$B$2:$B$45&gt;=$B$13)*$B$10+(Projects!$B$2:$B$45&lt;$B$13)*$B$11))</f>
        <v>3.95</v>
      </c>
      <c r="T40" s="351" t="n">
        <f aca="false">SUMPRODUCT((Projects!$G$2:$G$45="Yes")*(16&gt;=Projects!$C$2:$C$45-$B$16)*((16&lt;=Projects!$W$2:$W$45-$B$106)*1+(16&gt;Projects!$W$2:$W$45-$B$106)*(16&lt;=Projects!$W$2:$W$45+$B$17)*$B$107)*((Projects!$B$2:$B$45&gt;=$B$12)*$B$9+(Projects!$B$2:$B$45&lt;$B$12)*(Projects!$B$2:$B$45&gt;=$B$13)*$B$10+(Projects!$B$2:$B$45&lt;$B$13)*$B$11))</f>
        <v>3.85</v>
      </c>
      <c r="U40" s="351" t="n">
        <f aca="false">SUMPRODUCT((Projects!$G$2:$G$45="Yes")*(17&gt;=Projects!$C$2:$C$45-$B$16)*((17&lt;=Projects!$W$2:$W$45-$B$106)*1+(17&gt;Projects!$W$2:$W$45-$B$106)*(17&lt;=Projects!$W$2:$W$45+$B$17)*$B$107)*((Projects!$B$2:$B$45&gt;=$B$12)*$B$9+(Projects!$B$2:$B$45&lt;$B$12)*(Projects!$B$2:$B$45&gt;=$B$13)*$B$10+(Projects!$B$2:$B$45&lt;$B$13)*$B$11))</f>
        <v>3.5</v>
      </c>
      <c r="V40" s="351" t="n">
        <f aca="false">SUMPRODUCT((Projects!$G$2:$G$45="Yes")*(18&gt;=Projects!$C$2:$C$45-$B$16)*((18&lt;=Projects!$W$2:$W$45-$B$106)*1+(18&gt;Projects!$W$2:$W$45-$B$106)*(18&lt;=Projects!$W$2:$W$45+$B$17)*$B$107)*((Projects!$B$2:$B$45&gt;=$B$12)*$B$9+(Projects!$B$2:$B$45&lt;$B$12)*(Projects!$B$2:$B$45&gt;=$B$13)*$B$10+(Projects!$B$2:$B$45&lt;$B$13)*$B$11))</f>
        <v>3.7</v>
      </c>
      <c r="W40" s="351" t="n">
        <f aca="false">SUMPRODUCT((Projects!$G$2:$G$45="Yes")*(19&gt;=Projects!$C$2:$C$45-$B$16)*((19&lt;=Projects!$W$2:$W$45-$B$106)*1+(19&gt;Projects!$W$2:$W$45-$B$106)*(19&lt;=Projects!$W$2:$W$45+$B$17)*$B$107)*((Projects!$B$2:$B$45&gt;=$B$12)*$B$9+(Projects!$B$2:$B$45&lt;$B$12)*(Projects!$B$2:$B$45&gt;=$B$13)*$B$10+(Projects!$B$2:$B$45&lt;$B$13)*$B$11))</f>
        <v>3.8</v>
      </c>
      <c r="X40" s="351" t="n">
        <f aca="false">SUMPRODUCT((Projects!$G$2:$G$45="Yes")*(20&gt;=Projects!$C$2:$C$45-$B$16)*((20&lt;=Projects!$W$2:$W$45-$B$106)*1+(20&gt;Projects!$W$2:$W$45-$B$106)*(20&lt;=Projects!$W$2:$W$45+$B$17)*$B$107)*((Projects!$B$2:$B$45&gt;=$B$12)*$B$9+(Projects!$B$2:$B$45&lt;$B$12)*(Projects!$B$2:$B$45&gt;=$B$13)*$B$10+(Projects!$B$2:$B$45&lt;$B$13)*$B$11))</f>
        <v>4.2</v>
      </c>
      <c r="Y40" s="351" t="n">
        <f aca="false">SUMPRODUCT((Projects!$G$2:$G$45="Yes")*(21&gt;=Projects!$C$2:$C$45-$B$16)*((21&lt;=Projects!$W$2:$W$45-$B$106)*1+(21&gt;Projects!$W$2:$W$45-$B$106)*(21&lt;=Projects!$W$2:$W$45+$B$17)*$B$107)*((Projects!$B$2:$B$45&gt;=$B$12)*$B$9+(Projects!$B$2:$B$45&lt;$B$12)*(Projects!$B$2:$B$45&gt;=$B$13)*$B$10+(Projects!$B$2:$B$45&lt;$B$13)*$B$11))</f>
        <v>4</v>
      </c>
      <c r="Z40" s="351" t="n">
        <f aca="false">SUMPRODUCT((Projects!$G$2:$G$45="Yes")*(22&gt;=Projects!$C$2:$C$45-$B$16)*((22&lt;=Projects!$W$2:$W$45-$B$106)*1+(22&gt;Projects!$W$2:$W$45-$B$106)*(22&lt;=Projects!$W$2:$W$45+$B$17)*$B$107)*((Projects!$B$2:$B$45&gt;=$B$12)*$B$9+(Projects!$B$2:$B$45&lt;$B$12)*(Projects!$B$2:$B$45&gt;=$B$13)*$B$10+(Projects!$B$2:$B$45&lt;$B$13)*$B$11))</f>
        <v>3.9</v>
      </c>
      <c r="AA40" s="351" t="n">
        <f aca="false">SUMPRODUCT((Projects!$G$2:$G$45="Yes")*(23&gt;=Projects!$C$2:$C$45-$B$16)*((23&lt;=Projects!$W$2:$W$45-$B$106)*1+(23&gt;Projects!$W$2:$W$45-$B$106)*(23&lt;=Projects!$W$2:$W$45+$B$17)*$B$107)*((Projects!$B$2:$B$45&gt;=$B$12)*$B$9+(Projects!$B$2:$B$45&lt;$B$12)*(Projects!$B$2:$B$45&gt;=$B$13)*$B$10+(Projects!$B$2:$B$45&lt;$B$13)*$B$11))</f>
        <v>3.9</v>
      </c>
      <c r="AB40" s="351" t="n">
        <f aca="false">SUMPRODUCT((Projects!$G$2:$G$45="Yes")*(24&gt;=Projects!$C$2:$C$45-$B$16)*((24&lt;=Projects!$W$2:$W$45-$B$106)*1+(24&gt;Projects!$W$2:$W$45-$B$106)*(24&lt;=Projects!$W$2:$W$45+$B$17)*$B$107)*((Projects!$B$2:$B$45&gt;=$B$12)*$B$9+(Projects!$B$2:$B$45&lt;$B$12)*(Projects!$B$2:$B$45&gt;=$B$13)*$B$10+(Projects!$B$2:$B$45&lt;$B$13)*$B$11))</f>
        <v>4.1</v>
      </c>
      <c r="AC40" s="351" t="n">
        <f aca="false">SUMPRODUCT((Projects!$G$2:$G$45="Yes")*(25&gt;=Projects!$C$2:$C$45-$B$16)*((25&lt;=Projects!$W$2:$W$45-$B$106)*1+(25&gt;Projects!$W$2:$W$45-$B$106)*(25&lt;=Projects!$W$2:$W$45+$B$17)*$B$107)*((Projects!$B$2:$B$45&gt;=$B$12)*$B$9+(Projects!$B$2:$B$45&lt;$B$12)*(Projects!$B$2:$B$45&gt;=$B$13)*$B$10+(Projects!$B$2:$B$45&lt;$B$13)*$B$11))</f>
        <v>4</v>
      </c>
      <c r="AD40" s="351" t="n">
        <f aca="false">SUMPRODUCT((Projects!$G$2:$G$45="Yes")*(26&gt;=Projects!$C$2:$C$45-$B$16)*((26&lt;=Projects!$W$2:$W$45-$B$106)*1+(26&gt;Projects!$W$2:$W$45-$B$106)*(26&lt;=Projects!$W$2:$W$45+$B$17)*$B$107)*((Projects!$B$2:$B$45&gt;=$B$12)*$B$9+(Projects!$B$2:$B$45&lt;$B$12)*(Projects!$B$2:$B$45&gt;=$B$13)*$B$10+(Projects!$B$2:$B$45&lt;$B$13)*$B$11))</f>
        <v>3.55</v>
      </c>
      <c r="AE40" s="351" t="n">
        <f aca="false">SUMPRODUCT((Projects!$G$2:$G$45="Yes")*(27&gt;=Projects!$C$2:$C$45-$B$16)*((27&lt;=Projects!$W$2:$W$45-$B$106)*1+(27&gt;Projects!$W$2:$W$45-$B$106)*(27&lt;=Projects!$W$2:$W$45+$B$17)*$B$107)*((Projects!$B$2:$B$45&gt;=$B$12)*$B$9+(Projects!$B$2:$B$45&lt;$B$12)*(Projects!$B$2:$B$45&gt;=$B$13)*$B$10+(Projects!$B$2:$B$45&lt;$B$13)*$B$11))</f>
        <v>3.8</v>
      </c>
      <c r="AF40" s="351" t="n">
        <f aca="false">SUMPRODUCT((Projects!$G$2:$G$45="Yes")*(28&gt;=Projects!$C$2:$C$45-$B$16)*((28&lt;=Projects!$W$2:$W$45-$B$106)*1+(28&gt;Projects!$W$2:$W$45-$B$106)*(28&lt;=Projects!$W$2:$W$45+$B$17)*$B$107)*((Projects!$B$2:$B$45&gt;=$B$12)*$B$9+(Projects!$B$2:$B$45&lt;$B$12)*(Projects!$B$2:$B$45&gt;=$B$13)*$B$10+(Projects!$B$2:$B$45&lt;$B$13)*$B$11))</f>
        <v>3.7</v>
      </c>
      <c r="AG40" s="351" t="n">
        <f aca="false">SUMPRODUCT((Projects!$G$2:$G$45="Yes")*(29&gt;=Projects!$C$2:$C$45-$B$16)*((29&lt;=Projects!$W$2:$W$45-$B$106)*1+(29&gt;Projects!$W$2:$W$45-$B$106)*(29&lt;=Projects!$W$2:$W$45+$B$17)*$B$107)*((Projects!$B$2:$B$45&gt;=$B$12)*$B$9+(Projects!$B$2:$B$45&lt;$B$12)*(Projects!$B$2:$B$45&gt;=$B$13)*$B$10+(Projects!$B$2:$B$45&lt;$B$13)*$B$11))</f>
        <v>3.9</v>
      </c>
      <c r="AH40" s="351" t="n">
        <f aca="false">SUMPRODUCT((Projects!$G$2:$G$45="Yes")*(30&gt;=Projects!$C$2:$C$45-$B$16)*((30&lt;=Projects!$W$2:$W$45-$B$106)*1+(30&gt;Projects!$W$2:$W$45-$B$106)*(30&lt;=Projects!$W$2:$W$45+$B$17)*$B$107)*((Projects!$B$2:$B$45&gt;=$B$12)*$B$9+(Projects!$B$2:$B$45&lt;$B$12)*(Projects!$B$2:$B$45&gt;=$B$13)*$B$10+(Projects!$B$2:$B$45&lt;$B$13)*$B$11))</f>
        <v>3.55</v>
      </c>
      <c r="AI40" s="351" t="n">
        <f aca="false">SUMPRODUCT((Projects!$G$2:$G$45="Yes")*(31&gt;=Projects!$C$2:$C$45-$B$16)*((31&lt;=Projects!$W$2:$W$45-$B$106)*1+(31&gt;Projects!$W$2:$W$45-$B$106)*(31&lt;=Projects!$W$2:$W$45+$B$17)*$B$107)*((Projects!$B$2:$B$45&gt;=$B$12)*$B$9+(Projects!$B$2:$B$45&lt;$B$12)*(Projects!$B$2:$B$45&gt;=$B$13)*$B$10+(Projects!$B$2:$B$45&lt;$B$13)*$B$11))</f>
        <v>3.5</v>
      </c>
      <c r="AJ40" s="351" t="n">
        <f aca="false">SUMPRODUCT((Projects!$G$2:$G$45="Yes")*(32&gt;=Projects!$C$2:$C$45-$B$16)*((32&lt;=Projects!$W$2:$W$45-$B$106)*1+(32&gt;Projects!$W$2:$W$45-$B$106)*(32&lt;=Projects!$W$2:$W$45+$B$17)*$B$107)*((Projects!$B$2:$B$45&gt;=$B$12)*$B$9+(Projects!$B$2:$B$45&lt;$B$12)*(Projects!$B$2:$B$45&gt;=$B$13)*$B$10+(Projects!$B$2:$B$45&lt;$B$13)*$B$11))</f>
        <v>3.6</v>
      </c>
      <c r="AK40" s="351" t="n">
        <f aca="false">SUMPRODUCT((Projects!$G$2:$G$45="Yes")*(33&gt;=Projects!$C$2:$C$45-$B$16)*((33&lt;=Projects!$W$2:$W$45-$B$106)*1+(33&gt;Projects!$W$2:$W$45-$B$106)*(33&lt;=Projects!$W$2:$W$45+$B$17)*$B$107)*((Projects!$B$2:$B$45&gt;=$B$12)*$B$9+(Projects!$B$2:$B$45&lt;$B$12)*(Projects!$B$2:$B$45&gt;=$B$13)*$B$10+(Projects!$B$2:$B$45&lt;$B$13)*$B$11))</f>
        <v>3.8</v>
      </c>
      <c r="AL40" s="351" t="n">
        <f aca="false">SUMPRODUCT((Projects!$G$2:$G$45="Yes")*(34&gt;=Projects!$C$2:$C$45-$B$16)*((34&lt;=Projects!$W$2:$W$45-$B$106)*1+(34&gt;Projects!$W$2:$W$45-$B$106)*(34&lt;=Projects!$W$2:$W$45+$B$17)*$B$107)*((Projects!$B$2:$B$45&gt;=$B$12)*$B$9+(Projects!$B$2:$B$45&lt;$B$12)*(Projects!$B$2:$B$45&gt;=$B$13)*$B$10+(Projects!$B$2:$B$45&lt;$B$13)*$B$11))</f>
        <v>3.45</v>
      </c>
      <c r="AM40" s="351" t="n">
        <f aca="false">SUMPRODUCT((Projects!$G$2:$G$45="Yes")*(35&gt;=Projects!$C$2:$C$45-$B$16)*((35&lt;=Projects!$W$2:$W$45-$B$106)*1+(35&gt;Projects!$W$2:$W$45-$B$106)*(35&lt;=Projects!$W$2:$W$45+$B$17)*$B$107)*((Projects!$B$2:$B$45&gt;=$B$12)*$B$9+(Projects!$B$2:$B$45&lt;$B$12)*(Projects!$B$2:$B$45&gt;=$B$13)*$B$10+(Projects!$B$2:$B$45&lt;$B$13)*$B$11))</f>
        <v>3.55</v>
      </c>
      <c r="AN40" s="351" t="n">
        <f aca="false">SUMPRODUCT((Projects!$G$2:$G$45="Yes")*(36&gt;=Projects!$C$2:$C$45-$B$16)*((36&lt;=Projects!$W$2:$W$45-$B$106)*1+(36&gt;Projects!$W$2:$W$45-$B$106)*(36&lt;=Projects!$W$2:$W$45+$B$17)*$B$107)*((Projects!$B$2:$B$45&gt;=$B$12)*$B$9+(Projects!$B$2:$B$45&lt;$B$12)*(Projects!$B$2:$B$45&gt;=$B$13)*$B$10+(Projects!$B$2:$B$45&lt;$B$13)*$B$11))</f>
        <v>3.75</v>
      </c>
      <c r="AO40" s="351" t="n">
        <f aca="false">SUMPRODUCT((Projects!$G$2:$G$45="Yes")*(37&gt;=Projects!$C$2:$C$45-$B$16)*((37&lt;=Projects!$W$2:$W$45-$B$106)*1+(37&gt;Projects!$W$2:$W$45-$B$106)*(37&lt;=Projects!$W$2:$W$45+$B$17)*$B$107)*((Projects!$B$2:$B$45&gt;=$B$12)*$B$9+(Projects!$B$2:$B$45&lt;$B$12)*(Projects!$B$2:$B$45&gt;=$B$13)*$B$10+(Projects!$B$2:$B$45&lt;$B$13)*$B$11))</f>
        <v>3.95</v>
      </c>
      <c r="AP40" s="351" t="n">
        <f aca="false">SUMPRODUCT((Projects!$G$2:$G$45="Yes")*(38&gt;=Projects!$C$2:$C$45-$B$16)*((38&lt;=Projects!$W$2:$W$45-$B$106)*1+(38&gt;Projects!$W$2:$W$45-$B$106)*(38&lt;=Projects!$W$2:$W$45+$B$17)*$B$107)*((Projects!$B$2:$B$45&gt;=$B$12)*$B$9+(Projects!$B$2:$B$45&lt;$B$12)*(Projects!$B$2:$B$45&gt;=$B$13)*$B$10+(Projects!$B$2:$B$45&lt;$B$13)*$B$11))</f>
        <v>3.8</v>
      </c>
      <c r="AQ40" s="351" t="n">
        <f aca="false">SUMPRODUCT((Projects!$G$2:$G$45="Yes")*(39&gt;=Projects!$C$2:$C$45-$B$16)*((39&lt;=Projects!$W$2:$W$45-$B$106)*1+(39&gt;Projects!$W$2:$W$45-$B$106)*(39&lt;=Projects!$W$2:$W$45+$B$17)*$B$107)*((Projects!$B$2:$B$45&gt;=$B$12)*$B$9+(Projects!$B$2:$B$45&lt;$B$12)*(Projects!$B$2:$B$45&gt;=$B$13)*$B$10+(Projects!$B$2:$B$45&lt;$B$13)*$B$11))</f>
        <v>3.9</v>
      </c>
      <c r="AR40" s="351" t="n">
        <f aca="false">SUMPRODUCT((Projects!$G$2:$G$45="Yes")*(40&gt;=Projects!$C$2:$C$45-$B$16)*((40&lt;=Projects!$W$2:$W$45-$B$106)*1+(40&gt;Projects!$W$2:$W$45-$B$106)*(40&lt;=Projects!$W$2:$W$45+$B$17)*$B$107)*((Projects!$B$2:$B$45&gt;=$B$12)*$B$9+(Projects!$B$2:$B$45&lt;$B$12)*(Projects!$B$2:$B$45&gt;=$B$13)*$B$10+(Projects!$B$2:$B$45&lt;$B$13)*$B$11))</f>
        <v>3.8</v>
      </c>
      <c r="AS40" s="351" t="n">
        <f aca="false">SUMPRODUCT((Projects!$G$2:$G$45="Yes")*(41&gt;=Projects!$C$2:$C$45-$B$16)*((41&lt;=Projects!$W$2:$W$45-$B$106)*1+(41&gt;Projects!$W$2:$W$45-$B$106)*(41&lt;=Projects!$W$2:$W$45+$B$17)*$B$107)*((Projects!$B$2:$B$45&gt;=$B$12)*$B$9+(Projects!$B$2:$B$45&lt;$B$12)*(Projects!$B$2:$B$45&gt;=$B$13)*$B$10+(Projects!$B$2:$B$45&lt;$B$13)*$B$11))</f>
        <v>3.55</v>
      </c>
      <c r="AT40" s="351" t="n">
        <f aca="false">SUMPRODUCT((Projects!$G$2:$G$45="Yes")*(42&gt;=Projects!$C$2:$C$45-$B$16)*((42&lt;=Projects!$W$2:$W$45-$B$106)*1+(42&gt;Projects!$W$2:$W$45-$B$106)*(42&lt;=Projects!$W$2:$W$45+$B$17)*$B$107)*((Projects!$B$2:$B$45&gt;=$B$12)*$B$9+(Projects!$B$2:$B$45&lt;$B$12)*(Projects!$B$2:$B$45&gt;=$B$13)*$B$10+(Projects!$B$2:$B$45&lt;$B$13)*$B$11))</f>
        <v>3.3</v>
      </c>
      <c r="AU40" s="351" t="n">
        <f aca="false">SUMPRODUCT((Projects!$G$2:$G$45="Yes")*(43&gt;=Projects!$C$2:$C$45-$B$16)*((43&lt;=Projects!$W$2:$W$45-$B$106)*1+(43&gt;Projects!$W$2:$W$45-$B$106)*(43&lt;=Projects!$W$2:$W$45+$B$17)*$B$107)*((Projects!$B$2:$B$45&gt;=$B$12)*$B$9+(Projects!$B$2:$B$45&lt;$B$12)*(Projects!$B$2:$B$45&gt;=$B$13)*$B$10+(Projects!$B$2:$B$45&lt;$B$13)*$B$11))</f>
        <v>3.5</v>
      </c>
      <c r="AV40" s="351" t="n">
        <f aca="false">SUMPRODUCT((Projects!$G$2:$G$45="Yes")*(44&gt;=Projects!$C$2:$C$45-$B$16)*((44&lt;=Projects!$W$2:$W$45-$B$106)*1+(44&gt;Projects!$W$2:$W$45-$B$106)*(44&lt;=Projects!$W$2:$W$45+$B$17)*$B$107)*((Projects!$B$2:$B$45&gt;=$B$12)*$B$9+(Projects!$B$2:$B$45&lt;$B$12)*(Projects!$B$2:$B$45&gt;=$B$13)*$B$10+(Projects!$B$2:$B$45&lt;$B$13)*$B$11))</f>
        <v>3.6</v>
      </c>
      <c r="AW40" s="351" t="n">
        <f aca="false">SUMPRODUCT((Projects!$G$2:$G$45="Yes")*(45&gt;=Projects!$C$2:$C$45-$B$16)*((45&lt;=Projects!$W$2:$W$45-$B$106)*1+(45&gt;Projects!$W$2:$W$45-$B$106)*(45&lt;=Projects!$W$2:$W$45+$B$17)*$B$107)*((Projects!$B$2:$B$45&gt;=$B$12)*$B$9+(Projects!$B$2:$B$45&lt;$B$12)*(Projects!$B$2:$B$45&gt;=$B$13)*$B$10+(Projects!$B$2:$B$45&lt;$B$13)*$B$11))</f>
        <v>3.25</v>
      </c>
      <c r="AX40" s="351" t="n">
        <f aca="false">SUMPRODUCT((Projects!$G$2:$G$45="Yes")*(46&gt;=Projects!$C$2:$C$45-$B$16)*((46&lt;=Projects!$W$2:$W$45-$B$106)*1+(46&gt;Projects!$W$2:$W$45-$B$106)*(46&lt;=Projects!$W$2:$W$45+$B$17)*$B$107)*((Projects!$B$2:$B$45&gt;=$B$12)*$B$9+(Projects!$B$2:$B$45&lt;$B$12)*(Projects!$B$2:$B$45&gt;=$B$13)*$B$10+(Projects!$B$2:$B$45&lt;$B$13)*$B$11))</f>
        <v>2.9</v>
      </c>
      <c r="AY40" s="351" t="n">
        <f aca="false">SUMPRODUCT((Projects!$G$2:$G$45="Yes")*(47&gt;=Projects!$C$2:$C$45-$B$16)*((47&lt;=Projects!$W$2:$W$45-$B$106)*1+(47&gt;Projects!$W$2:$W$45-$B$106)*(47&lt;=Projects!$W$2:$W$45+$B$17)*$B$107)*((Projects!$B$2:$B$45&gt;=$B$12)*$B$9+(Projects!$B$2:$B$45&lt;$B$12)*(Projects!$B$2:$B$45&gt;=$B$13)*$B$10+(Projects!$B$2:$B$45&lt;$B$13)*$B$11))</f>
        <v>2.8</v>
      </c>
      <c r="AZ40" s="351" t="n">
        <f aca="false">SUMPRODUCT((Projects!$G$2:$G$45="Yes")*(48&gt;=Projects!$C$2:$C$45-$B$16)*((48&lt;=Projects!$W$2:$W$45-$B$106)*1+(48&gt;Projects!$W$2:$W$45-$B$106)*(48&lt;=Projects!$W$2:$W$45+$B$17)*$B$107)*((Projects!$B$2:$B$45&gt;=$B$12)*$B$9+(Projects!$B$2:$B$45&lt;$B$12)*(Projects!$B$2:$B$45&gt;=$B$13)*$B$10+(Projects!$B$2:$B$45&lt;$B$13)*$B$11))</f>
        <v>2.9</v>
      </c>
      <c r="BA40" s="351" t="n">
        <f aca="false">SUMPRODUCT((Projects!$G$2:$G$45="Yes")*(49&gt;=Projects!$C$2:$C$45-$B$16)*((49&lt;=Projects!$W$2:$W$45-$B$106)*1+(49&gt;Projects!$W$2:$W$45-$B$106)*(49&lt;=Projects!$W$2:$W$45+$B$17)*$B$107)*((Projects!$B$2:$B$45&gt;=$B$12)*$B$9+(Projects!$B$2:$B$45&lt;$B$12)*(Projects!$B$2:$B$45&gt;=$B$13)*$B$10+(Projects!$B$2:$B$45&lt;$B$13)*$B$11))</f>
        <v>2.9</v>
      </c>
      <c r="BB40" s="351" t="n">
        <f aca="false">SUMPRODUCT((Projects!$G$2:$G$45="Yes")*(50&gt;=Projects!$C$2:$C$45-$B$16)*((50&lt;=Projects!$W$2:$W$45-$B$106)*1+(50&gt;Projects!$W$2:$W$45-$B$106)*(50&lt;=Projects!$W$2:$W$45+$B$17)*$B$107)*((Projects!$B$2:$B$45&gt;=$B$12)*$B$9+(Projects!$B$2:$B$45&lt;$B$12)*(Projects!$B$2:$B$45&gt;=$B$13)*$B$10+(Projects!$B$2:$B$45&lt;$B$13)*$B$11))</f>
        <v>2.9</v>
      </c>
      <c r="BC40" s="351" t="n">
        <f aca="false">SUMPRODUCT((Projects!$G$2:$G$45="Yes")*(51&gt;=Projects!$C$2:$C$45-$B$16)*((51&lt;=Projects!$W$2:$W$45-$B$106)*1+(51&gt;Projects!$W$2:$W$45-$B$106)*(51&lt;=Projects!$W$2:$W$45+$B$17)*$B$107)*((Projects!$B$2:$B$45&gt;=$B$12)*$B$9+(Projects!$B$2:$B$45&lt;$B$12)*(Projects!$B$2:$B$45&gt;=$B$13)*$B$10+(Projects!$B$2:$B$45&lt;$B$13)*$B$11))</f>
        <v>2.9</v>
      </c>
      <c r="BD40" s="351" t="n">
        <f aca="false">SUMPRODUCT((Projects!$G$2:$G$45="Yes")*(52&gt;=Projects!$C$2:$C$45-$B$16)*((52&lt;=Projects!$W$2:$W$45-$B$106)*1+(52&gt;Projects!$W$2:$W$45-$B$106)*(52&lt;=Projects!$W$2:$W$45+$B$17)*$B$107)*((Projects!$B$2:$B$45&gt;=$B$12)*$B$9+(Projects!$B$2:$B$45&lt;$B$12)*(Projects!$B$2:$B$45&gt;=$B$13)*$B$10+(Projects!$B$2:$B$45&lt;$B$13)*$B$11))</f>
        <v>2.9</v>
      </c>
      <c r="BE40" s="351" t="n">
        <f aca="false">SUMPRODUCT((Projects!$G$2:$G$45="Yes")*(53&gt;=Projects!$C$2:$C$45-$B$16)*((53&lt;=Projects!$W$2:$W$45-$B$106)*1+(53&gt;Projects!$W$2:$W$45-$B$106)*(53&lt;=Projects!$W$2:$W$45+$B$17)*$B$107)*((Projects!$B$2:$B$45&gt;=$B$12)*$B$9+(Projects!$B$2:$B$45&lt;$B$12)*(Projects!$B$2:$B$45&gt;=$B$13)*$B$10+(Projects!$B$2:$B$45&lt;$B$13)*$B$11))</f>
        <v>2.9</v>
      </c>
      <c r="BF40" s="351" t="n">
        <f aca="false">SUMPRODUCT((Projects!$G$2:$G$45="Yes")*(54&gt;=Projects!$C$2:$C$45-$B$16)*((54&lt;=Projects!$W$2:$W$45-$B$106)*1+(54&gt;Projects!$W$2:$W$45-$B$106)*(54&lt;=Projects!$W$2:$W$45+$B$17)*$B$107)*((Projects!$B$2:$B$45&gt;=$B$12)*$B$9+(Projects!$B$2:$B$45&lt;$B$12)*(Projects!$B$2:$B$45&gt;=$B$13)*$B$10+(Projects!$B$2:$B$45&lt;$B$13)*$B$11))</f>
        <v>2.65</v>
      </c>
      <c r="BG40" s="351" t="n">
        <f aca="false">SUMPRODUCT((Projects!$G$2:$G$45="Yes")*(55&gt;=Projects!$C$2:$C$45-$B$16)*((55&lt;=Projects!$W$2:$W$45-$B$106)*1+(55&gt;Projects!$W$2:$W$45-$B$106)*(55&lt;=Projects!$W$2:$W$45+$B$17)*$B$107)*((Projects!$B$2:$B$45&gt;=$B$12)*$B$9+(Projects!$B$2:$B$45&lt;$B$12)*(Projects!$B$2:$B$45&gt;=$B$13)*$B$10+(Projects!$B$2:$B$45&lt;$B$13)*$B$11))</f>
        <v>2.65</v>
      </c>
      <c r="BH40" s="351" t="n">
        <f aca="false">SUMPRODUCT((Projects!$G$2:$G$45="Yes")*(56&gt;=Projects!$C$2:$C$45-$B$16)*((56&lt;=Projects!$W$2:$W$45-$B$106)*1+(56&gt;Projects!$W$2:$W$45-$B$106)*(56&lt;=Projects!$W$2:$W$45+$B$17)*$B$107)*((Projects!$B$2:$B$45&gt;=$B$12)*$B$9+(Projects!$B$2:$B$45&lt;$B$12)*(Projects!$B$2:$B$45&gt;=$B$13)*$B$10+(Projects!$B$2:$B$45&lt;$B$13)*$B$11))</f>
        <v>2.55</v>
      </c>
      <c r="BI40" s="351" t="n">
        <f aca="false">SUMPRODUCT((Projects!$G$2:$G$45="Yes")*(57&gt;=Projects!$C$2:$C$45-$B$16)*((57&lt;=Projects!$W$2:$W$45-$B$106)*1+(57&gt;Projects!$W$2:$W$45-$B$106)*(57&lt;=Projects!$W$2:$W$45+$B$17)*$B$107)*((Projects!$B$2:$B$45&gt;=$B$12)*$B$9+(Projects!$B$2:$B$45&lt;$B$12)*(Projects!$B$2:$B$45&gt;=$B$13)*$B$10+(Projects!$B$2:$B$45&lt;$B$13)*$B$11))</f>
        <v>2.45</v>
      </c>
      <c r="BJ40" s="351" t="n">
        <f aca="false">SUMPRODUCT((Projects!$G$2:$G$45="Yes")*(58&gt;=Projects!$C$2:$C$45-$B$16)*((58&lt;=Projects!$W$2:$W$45-$B$106)*1+(58&gt;Projects!$W$2:$W$45-$B$106)*(58&lt;=Projects!$W$2:$W$45+$B$17)*$B$107)*((Projects!$B$2:$B$45&gt;=$B$12)*$B$9+(Projects!$B$2:$B$45&lt;$B$12)*(Projects!$B$2:$B$45&gt;=$B$13)*$B$10+(Projects!$B$2:$B$45&lt;$B$13)*$B$11))</f>
        <v>2.1</v>
      </c>
      <c r="BK40" s="351" t="n">
        <f aca="false">SUMPRODUCT((Projects!$G$2:$G$45="Yes")*(59&gt;=Projects!$C$2:$C$45-$B$16)*((59&lt;=Projects!$W$2:$W$45-$B$106)*1+(59&gt;Projects!$W$2:$W$45-$B$106)*(59&lt;=Projects!$W$2:$W$45+$B$17)*$B$107)*((Projects!$B$2:$B$45&gt;=$B$12)*$B$9+(Projects!$B$2:$B$45&lt;$B$12)*(Projects!$B$2:$B$45&gt;=$B$13)*$B$10+(Projects!$B$2:$B$45&lt;$B$13)*$B$11))</f>
        <v>1.9</v>
      </c>
      <c r="BL40" s="351" t="n">
        <f aca="false">SUMPRODUCT((Projects!$G$2:$G$45="Yes")*(60&gt;=Projects!$C$2:$C$45-$B$16)*((60&lt;=Projects!$W$2:$W$45-$B$106)*1+(60&gt;Projects!$W$2:$W$45-$B$106)*(60&lt;=Projects!$W$2:$W$45+$B$17)*$B$107)*((Projects!$B$2:$B$45&gt;=$B$12)*$B$9+(Projects!$B$2:$B$45&lt;$B$12)*(Projects!$B$2:$B$45&gt;=$B$13)*$B$10+(Projects!$B$2:$B$45&lt;$B$13)*$B$11))</f>
        <v>1.8</v>
      </c>
      <c r="BM40" s="351" t="n">
        <f aca="false">SUMPRODUCT((Projects!$G$2:$G$45="Yes")*(61&gt;=Projects!$C$2:$C$45-$B$16)*((61&lt;=Projects!$W$2:$W$45-$B$106)*1+(61&gt;Projects!$W$2:$W$45-$B$106)*(61&lt;=Projects!$W$2:$W$45+$B$17)*$B$107)*((Projects!$B$2:$B$45&gt;=$B$12)*$B$9+(Projects!$B$2:$B$45&lt;$B$12)*(Projects!$B$2:$B$45&gt;=$B$13)*$B$10+(Projects!$B$2:$B$45&lt;$B$13)*$B$11))</f>
        <v>1.8</v>
      </c>
      <c r="BN40" s="351" t="n">
        <f aca="false">SUMPRODUCT((Projects!$G$2:$G$45="Yes")*(62&gt;=Projects!$C$2:$C$45-$B$16)*((62&lt;=Projects!$W$2:$W$45-$B$106)*1+(62&gt;Projects!$W$2:$W$45-$B$106)*(62&lt;=Projects!$W$2:$W$45+$B$17)*$B$107)*((Projects!$B$2:$B$45&gt;=$B$12)*$B$9+(Projects!$B$2:$B$45&lt;$B$12)*(Projects!$B$2:$B$45&gt;=$B$13)*$B$10+(Projects!$B$2:$B$45&lt;$B$13)*$B$11))</f>
        <v>1.8</v>
      </c>
      <c r="BO40" s="351" t="n">
        <f aca="false">SUMPRODUCT((Projects!$G$2:$G$45="Yes")*(63&gt;=Projects!$C$2:$C$45-$B$16)*((63&lt;=Projects!$W$2:$W$45-$B$106)*1+(63&gt;Projects!$W$2:$W$45-$B$106)*(63&lt;=Projects!$W$2:$W$45+$B$17)*$B$107)*((Projects!$B$2:$B$45&gt;=$B$12)*$B$9+(Projects!$B$2:$B$45&lt;$B$12)*(Projects!$B$2:$B$45&gt;=$B$13)*$B$10+(Projects!$B$2:$B$45&lt;$B$13)*$B$11))</f>
        <v>1.7</v>
      </c>
      <c r="BP40" s="351" t="n">
        <f aca="false">SUMPRODUCT((Projects!$G$2:$G$45="Yes")*(64&gt;=Projects!$C$2:$C$45-$B$16)*((64&lt;=Projects!$W$2:$W$45-$B$106)*1+(64&gt;Projects!$W$2:$W$45-$B$106)*(64&lt;=Projects!$W$2:$W$45+$B$17)*$B$107)*((Projects!$B$2:$B$45&gt;=$B$12)*$B$9+(Projects!$B$2:$B$45&lt;$B$12)*(Projects!$B$2:$B$45&gt;=$B$13)*$B$10+(Projects!$B$2:$B$45&lt;$B$13)*$B$11))</f>
        <v>1.5</v>
      </c>
      <c r="BQ40" s="351" t="n">
        <f aca="false">SUMPRODUCT((Projects!$G$2:$G$45="Yes")*(65&gt;=Projects!$C$2:$C$45-$B$16)*((65&lt;=Projects!$W$2:$W$45-$B$106)*1+(65&gt;Projects!$W$2:$W$45-$B$106)*(65&lt;=Projects!$W$2:$W$45+$B$17)*$B$107)*((Projects!$B$2:$B$45&gt;=$B$12)*$B$9+(Projects!$B$2:$B$45&lt;$B$12)*(Projects!$B$2:$B$45&gt;=$B$13)*$B$10+(Projects!$B$2:$B$45&lt;$B$13)*$B$11))</f>
        <v>1.4</v>
      </c>
      <c r="BR40" s="351" t="n">
        <f aca="false">SUMPRODUCT((Projects!$G$2:$G$45="Yes")*(66&gt;=Projects!$C$2:$C$45-$B$16)*((66&lt;=Projects!$W$2:$W$45-$B$106)*1+(66&gt;Projects!$W$2:$W$45-$B$106)*(66&lt;=Projects!$W$2:$W$45+$B$17)*$B$107)*((Projects!$B$2:$B$45&gt;=$B$12)*$B$9+(Projects!$B$2:$B$45&lt;$B$12)*(Projects!$B$2:$B$45&gt;=$B$13)*$B$10+(Projects!$B$2:$B$45&lt;$B$13)*$B$11))</f>
        <v>1.3</v>
      </c>
      <c r="BS40" s="351" t="n">
        <f aca="false">SUMPRODUCT((Projects!$G$2:$G$45="Yes")*(67&gt;=Projects!$C$2:$C$45-$B$16)*((67&lt;=Projects!$W$2:$W$45-$B$106)*1+(67&gt;Projects!$W$2:$W$45-$B$106)*(67&lt;=Projects!$W$2:$W$45+$B$17)*$B$107)*((Projects!$B$2:$B$45&gt;=$B$12)*$B$9+(Projects!$B$2:$B$45&lt;$B$12)*(Projects!$B$2:$B$45&gt;=$B$13)*$B$10+(Projects!$B$2:$B$45&lt;$B$13)*$B$11))</f>
        <v>1.2</v>
      </c>
      <c r="BT40" s="351" t="n">
        <f aca="false">SUMPRODUCT((Projects!$G$2:$G$45="Yes")*(68&gt;=Projects!$C$2:$C$45-$B$16)*((68&lt;=Projects!$W$2:$W$45-$B$106)*1+(68&gt;Projects!$W$2:$W$45-$B$106)*(68&lt;=Projects!$W$2:$W$45+$B$17)*$B$107)*((Projects!$B$2:$B$45&gt;=$B$12)*$B$9+(Projects!$B$2:$B$45&lt;$B$12)*(Projects!$B$2:$B$45&gt;=$B$13)*$B$10+(Projects!$B$2:$B$45&lt;$B$13)*$B$11))</f>
        <v>1</v>
      </c>
      <c r="BU40" s="351" t="n">
        <f aca="false">SUMPRODUCT((Projects!$G$2:$G$45="Yes")*(69&gt;=Projects!$C$2:$C$45-$B$16)*((69&lt;=Projects!$W$2:$W$45-$B$106)*1+(69&gt;Projects!$W$2:$W$45-$B$106)*(69&lt;=Projects!$W$2:$W$45+$B$17)*$B$107)*((Projects!$B$2:$B$45&gt;=$B$12)*$B$9+(Projects!$B$2:$B$45&lt;$B$12)*(Projects!$B$2:$B$45&gt;=$B$13)*$B$10+(Projects!$B$2:$B$45&lt;$B$13)*$B$11))</f>
        <v>0.8</v>
      </c>
      <c r="BV40" s="351" t="n">
        <f aca="false">SUMPRODUCT((Projects!$G$2:$G$45="Yes")*(70&gt;=Projects!$C$2:$C$45-$B$16)*((70&lt;=Projects!$W$2:$W$45-$B$106)*1+(70&gt;Projects!$W$2:$W$45-$B$106)*(70&lt;=Projects!$W$2:$W$45+$B$17)*$B$107)*((Projects!$B$2:$B$45&gt;=$B$12)*$B$9+(Projects!$B$2:$B$45&lt;$B$12)*(Projects!$B$2:$B$45&gt;=$B$13)*$B$10+(Projects!$B$2:$B$45&lt;$B$13)*$B$11))</f>
        <v>0.6</v>
      </c>
      <c r="BW40" s="351" t="n">
        <f aca="false">SUMPRODUCT((Projects!$G$2:$G$45="Yes")*(71&gt;=Projects!$C$2:$C$45-$B$16)*((71&lt;=Projects!$W$2:$W$45-$B$106)*1+(71&gt;Projects!$W$2:$W$45-$B$106)*(71&lt;=Projects!$W$2:$W$45+$B$17)*$B$107)*((Projects!$B$2:$B$45&gt;=$B$12)*$B$9+(Projects!$B$2:$B$45&lt;$B$12)*(Projects!$B$2:$B$45&gt;=$B$13)*$B$10+(Projects!$B$2:$B$45&lt;$B$13)*$B$11))</f>
        <v>0.4</v>
      </c>
      <c r="BX40" s="351" t="n">
        <f aca="false">SUMPRODUCT((Projects!$G$2:$G$45="Yes")*(72&gt;=Projects!$C$2:$C$45-$B$16)*((72&lt;=Projects!$W$2:$W$45-$B$106)*1+(72&gt;Projects!$W$2:$W$45-$B$106)*(72&lt;=Projects!$W$2:$W$45+$B$17)*$B$107)*((Projects!$B$2:$B$45&gt;=$B$12)*$B$9+(Projects!$B$2:$B$45&lt;$B$12)*(Projects!$B$2:$B$45&gt;=$B$13)*$B$10+(Projects!$B$2:$B$45&lt;$B$13)*$B$11))</f>
        <v>0.3</v>
      </c>
      <c r="BY40" s="351" t="n">
        <f aca="false">SUMPRODUCT((Projects!$G$2:$G$45="Yes")*(73&gt;=Projects!$C$2:$C$45-$B$16)*((73&lt;=Projects!$W$2:$W$45-$B$106)*1+(73&gt;Projects!$W$2:$W$45-$B$106)*(73&lt;=Projects!$W$2:$W$45+$B$17)*$B$107)*((Projects!$B$2:$B$45&gt;=$B$12)*$B$9+(Projects!$B$2:$B$45&lt;$B$12)*(Projects!$B$2:$B$45&gt;=$B$13)*$B$10+(Projects!$B$2:$B$45&lt;$B$13)*$B$11))</f>
        <v>0.2</v>
      </c>
      <c r="BZ40" s="351" t="n">
        <f aca="false">SUMPRODUCT((Projects!$G$2:$G$45="Yes")*(74&gt;=Projects!$C$2:$C$45-$B$16)*((74&lt;=Projects!$W$2:$W$45-$B$106)*1+(74&gt;Projects!$W$2:$W$45-$B$106)*(74&lt;=Projects!$W$2:$W$45+$B$17)*$B$107)*((Projects!$B$2:$B$45&gt;=$B$12)*$B$9+(Projects!$B$2:$B$45&lt;$B$12)*(Projects!$B$2:$B$45&gt;=$B$13)*$B$10+(Projects!$B$2:$B$45&lt;$B$13)*$B$11))</f>
        <v>0.1</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1176</v>
      </c>
      <c r="B42" s="210"/>
      <c r="C42" s="210"/>
      <c r="D42" s="210"/>
      <c r="E42" s="210"/>
      <c r="F42" s="210"/>
    </row>
    <row r="43" customFormat="false" ht="13.5" hidden="false" customHeight="true" outlineLevel="0" collapsed="false">
      <c r="A43" s="109" t="s">
        <v>1177</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1178</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1179</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1180</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1181</v>
      </c>
      <c r="B48" s="210"/>
      <c r="C48" s="210"/>
      <c r="D48" s="210"/>
      <c r="E48" s="210"/>
      <c r="F48" s="210"/>
    </row>
    <row r="49" customFormat="false" ht="13.5" hidden="false" customHeight="true" outlineLevel="0" collapsed="false">
      <c r="A49" s="109" t="s">
        <v>1182</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1</v>
      </c>
      <c r="AE49" s="352" t="n">
        <f aca="false">IF(27&lt;5,0,IF(MAX(Z38:AE38)&gt;AE43+0+$B$18,1,0))</f>
        <v>1</v>
      </c>
      <c r="AF49" s="352" t="n">
        <f aca="false">IF(28&lt;5,0,IF(MAX(AA38:AF38)&gt;AF43+0+$B$18,1,0))</f>
        <v>1</v>
      </c>
      <c r="AG49" s="352" t="n">
        <f aca="false">IF(29&lt;5,0,IF(MAX(AB38:AG38)&gt;AG43+0+$B$18,1,0))</f>
        <v>1</v>
      </c>
      <c r="AH49" s="352" t="n">
        <f aca="false">IF(30&lt;5,0,IF(MAX(AC38:AH38)&gt;AH43+0+$B$18,1,0))</f>
        <v>1</v>
      </c>
      <c r="AI49" s="352" t="n">
        <f aca="false">IF(31&lt;5,0,IF(MAX(AD38:AI38)&gt;AI43+0+$B$18,1,0))</f>
        <v>1</v>
      </c>
      <c r="AJ49" s="352" t="n">
        <f aca="false">IF(32&lt;5,0,IF(MAX(AE38:AJ38)&gt;AJ43+0+$B$18,1,0))</f>
        <v>1</v>
      </c>
      <c r="AK49" s="352" t="n">
        <f aca="false">IF(33&lt;5,0,IF(MAX(AF38:AK38)&gt;AK43+0+$B$18,1,0))</f>
        <v>1</v>
      </c>
      <c r="AL49" s="352" t="n">
        <f aca="false">IF(34&lt;5,0,IF(MAX(AG38:AL38)&gt;AL43+0+$B$18,1,0))</f>
        <v>1</v>
      </c>
      <c r="AM49" s="352" t="n">
        <f aca="false">IF(35&lt;5,0,IF(MAX(AH38:AM38)&gt;AM43+0+$B$18,1,0))</f>
        <v>1</v>
      </c>
      <c r="AN49" s="352" t="n">
        <f aca="false">IF(36&lt;5,0,IF(MAX(AI38:AN38)&gt;AN43+0+$B$18,1,0))</f>
        <v>1</v>
      </c>
      <c r="AO49" s="352" t="n">
        <f aca="false">IF(37&lt;5,0,IF(MAX(AJ38:AO38)&gt;AO43+0+$B$18,1,0))</f>
        <v>1</v>
      </c>
      <c r="AP49" s="352" t="n">
        <f aca="false">IF(38&lt;5,0,IF(MAX(AK38:AP38)&gt;AP43+0+$B$18,1,0))</f>
        <v>1</v>
      </c>
      <c r="AQ49" s="352" t="n">
        <f aca="false">IF(39&lt;5,0,IF(MAX(AL38:AQ38)&gt;AQ43+0+$B$18,1,0))</f>
        <v>1</v>
      </c>
      <c r="AR49" s="352" t="n">
        <f aca="false">IF(40&lt;5,0,IF(MAX(AM38:AR38)&gt;AR43+0+$B$18,1,0))</f>
        <v>1</v>
      </c>
      <c r="AS49" s="352" t="n">
        <f aca="false">IF(41&lt;5,0,IF(MAX(AN38:AS38)&gt;AS43+0+$B$18,1,0))</f>
        <v>1</v>
      </c>
      <c r="AT49" s="352" t="n">
        <f aca="false">IF(42&lt;5,0,IF(MAX(AO38:AT38)&gt;AT43+0+$B$18,1,0))</f>
        <v>1</v>
      </c>
      <c r="AU49" s="352" t="n">
        <f aca="false">IF(43&lt;5,0,IF(MAX(AP38:AU38)&gt;AU43+0+$B$18,1,0))</f>
        <v>1</v>
      </c>
      <c r="AV49" s="352" t="n">
        <f aca="false">IF(44&lt;5,0,IF(MAX(AQ38:AV38)&gt;AV43+0+$B$18,1,0))</f>
        <v>1</v>
      </c>
      <c r="AW49" s="352" t="n">
        <f aca="false">IF(45&lt;5,0,IF(MAX(AR38:AW38)&gt;AW43+0+$B$18,1,0))</f>
        <v>1</v>
      </c>
      <c r="AX49" s="352" t="n">
        <f aca="false">IF(46&lt;5,0,IF(MAX(AS38:AX38)&gt;AX43+0+$B$18,1,0))</f>
        <v>1</v>
      </c>
      <c r="AY49" s="352" t="n">
        <f aca="false">IF(47&lt;5,0,IF(MAX(AT38:AY38)&gt;AY43+0+$B$18,1,0))</f>
        <v>1</v>
      </c>
      <c r="AZ49" s="352" t="n">
        <f aca="false">IF(48&lt;5,0,IF(MAX(AU38:AZ38)&gt;AZ43+0+$B$18,1,0))</f>
        <v>1</v>
      </c>
      <c r="BA49" s="352" t="n">
        <f aca="false">IF(49&lt;5,0,IF(MAX(AV38:BA38)&gt;BA43+0+$B$18,1,0))</f>
        <v>1</v>
      </c>
      <c r="BB49" s="352" t="n">
        <f aca="false">IF(50&lt;5,0,IF(MAX(AW38:BB38)&gt;BB43+0+$B$18,1,0))</f>
        <v>1</v>
      </c>
      <c r="BC49" s="352" t="n">
        <f aca="false">IF(51&lt;5,0,IF(MAX(AX38:BC38)&gt;BC43+0+$B$18,1,0))</f>
        <v>1</v>
      </c>
      <c r="BD49" s="352" t="n">
        <f aca="false">IF(52&lt;5,0,IF(MAX(AY38:BD38)&gt;BD43+0+$B$18,1,0))</f>
        <v>1</v>
      </c>
      <c r="BE49" s="352" t="n">
        <f aca="false">IF(53&lt;5,0,IF(MAX(AZ38:BE38)&gt;BE43+0+$B$18,1,0))</f>
        <v>1</v>
      </c>
      <c r="BF49" s="352" t="n">
        <f aca="false">IF(54&lt;5,0,IF(MAX(BA38:BF38)&gt;BF43+0+$B$18,1,0))</f>
        <v>1</v>
      </c>
      <c r="BG49" s="352" t="n">
        <f aca="false">IF(55&lt;5,0,IF(MAX(BB38:BG38)&gt;BG43+0+$B$18,1,0))</f>
        <v>1</v>
      </c>
      <c r="BH49" s="352" t="n">
        <f aca="false">IF(56&lt;5,0,IF(MAX(BC38:BH38)&gt;BH43+0+$B$18,1,0))</f>
        <v>1</v>
      </c>
      <c r="BI49" s="352" t="n">
        <f aca="false">IF(57&lt;5,0,IF(MAX(BD38:BI38)&gt;BI43+0+$B$18,1,0))</f>
        <v>1</v>
      </c>
      <c r="BJ49" s="352" t="n">
        <f aca="false">IF(58&lt;5,0,IF(MAX(BE38:BJ38)&gt;BJ43+0+$B$18,1,0))</f>
        <v>1</v>
      </c>
      <c r="BK49" s="352" t="n">
        <f aca="false">IF(59&lt;5,0,IF(MAX(BF38:BK38)&gt;BK43+0+$B$18,1,0))</f>
        <v>1</v>
      </c>
      <c r="BL49" s="352" t="n">
        <f aca="false">IF(60&lt;5,0,IF(MAX(BG38:BL38)&gt;BL43+0+$B$18,1,0))</f>
        <v>1</v>
      </c>
      <c r="BM49" s="352" t="n">
        <f aca="false">IF(61&lt;5,0,IF(MAX(BH38:BM38)&gt;BM43+0+$B$18,1,0))</f>
        <v>1</v>
      </c>
      <c r="BN49" s="352" t="n">
        <f aca="false">IF(62&lt;5,0,IF(MAX(BI38:BN38)&gt;BN43+0+$B$18,1,0))</f>
        <v>1</v>
      </c>
      <c r="BO49" s="352" t="n">
        <f aca="false">IF(63&lt;5,0,IF(MAX(BJ38:BO38)&gt;BO43+0+$B$18,1,0))</f>
        <v>1</v>
      </c>
      <c r="BP49" s="352" t="n">
        <f aca="false">IF(64&lt;5,0,IF(MAX(BK38:BP38)&gt;BP43+0+$B$18,1,0))</f>
        <v>1</v>
      </c>
      <c r="BQ49" s="352" t="n">
        <f aca="false">IF(65&lt;5,0,IF(MAX(BL38:BQ38)&gt;BQ43+0+$B$18,1,0))</f>
        <v>1</v>
      </c>
      <c r="BR49" s="352" t="n">
        <f aca="false">IF(66&lt;5,0,IF(MAX(BM38:BR38)&gt;BR43+0+$B$18,1,0))</f>
        <v>1</v>
      </c>
      <c r="BS49" s="352" t="n">
        <f aca="false">IF(67&lt;5,0,IF(MAX(BN38:BS38)&gt;BS43+0+$B$18,1,0))</f>
        <v>1</v>
      </c>
      <c r="BT49" s="352" t="n">
        <f aca="false">IF(68&lt;5,0,IF(MAX(BO38:BT38)&gt;BT43+0+$B$18,1,0))</f>
        <v>1</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1183</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1</v>
      </c>
      <c r="AD50" s="352" t="n">
        <f aca="false">IF(26&lt;5,0,IF(MAX(Y38:AD38)&gt;AD43+1+$B$18,1,0))</f>
        <v>1</v>
      </c>
      <c r="AE50" s="352" t="n">
        <f aca="false">IF(27&lt;5,0,IF(MAX(Z38:AE38)&gt;AE43+1+$B$18,1,0))</f>
        <v>1</v>
      </c>
      <c r="AF50" s="352" t="n">
        <f aca="false">IF(28&lt;5,0,IF(MAX(AA38:AF38)&gt;AF43+1+$B$18,1,0))</f>
        <v>1</v>
      </c>
      <c r="AG50" s="352" t="n">
        <f aca="false">IF(29&lt;5,0,IF(MAX(AB38:AG38)&gt;AG43+1+$B$18,1,0))</f>
        <v>1</v>
      </c>
      <c r="AH50" s="352" t="n">
        <f aca="false">IF(30&lt;5,0,IF(MAX(AC38:AH38)&gt;AH43+1+$B$18,1,0))</f>
        <v>1</v>
      </c>
      <c r="AI50" s="352" t="n">
        <f aca="false">IF(31&lt;5,0,IF(MAX(AD38:AI38)&gt;AI43+1+$B$18,1,0))</f>
        <v>1</v>
      </c>
      <c r="AJ50" s="352" t="n">
        <f aca="false">IF(32&lt;5,0,IF(MAX(AE38:AJ38)&gt;AJ43+1+$B$18,1,0))</f>
        <v>1</v>
      </c>
      <c r="AK50" s="352" t="n">
        <f aca="false">IF(33&lt;5,0,IF(MAX(AF38:AK38)&gt;AK43+1+$B$18,1,0))</f>
        <v>1</v>
      </c>
      <c r="AL50" s="352" t="n">
        <f aca="false">IF(34&lt;5,0,IF(MAX(AG38:AL38)&gt;AL43+1+$B$18,1,0))</f>
        <v>1</v>
      </c>
      <c r="AM50" s="352" t="n">
        <f aca="false">IF(35&lt;5,0,IF(MAX(AH38:AM38)&gt;AM43+1+$B$18,1,0))</f>
        <v>1</v>
      </c>
      <c r="AN50" s="352" t="n">
        <f aca="false">IF(36&lt;5,0,IF(MAX(AI38:AN38)&gt;AN43+1+$B$18,1,0))</f>
        <v>1</v>
      </c>
      <c r="AO50" s="352" t="n">
        <f aca="false">IF(37&lt;5,0,IF(MAX(AJ38:AO38)&gt;AO43+1+$B$18,1,0))</f>
        <v>1</v>
      </c>
      <c r="AP50" s="352" t="n">
        <f aca="false">IF(38&lt;5,0,IF(MAX(AK38:AP38)&gt;AP43+1+$B$18,1,0))</f>
        <v>1</v>
      </c>
      <c r="AQ50" s="352" t="n">
        <f aca="false">IF(39&lt;5,0,IF(MAX(AL38:AQ38)&gt;AQ43+1+$B$18,1,0))</f>
        <v>1</v>
      </c>
      <c r="AR50" s="352" t="n">
        <f aca="false">IF(40&lt;5,0,IF(MAX(AM38:AR38)&gt;AR43+1+$B$18,1,0))</f>
        <v>1</v>
      </c>
      <c r="AS50" s="352" t="n">
        <f aca="false">IF(41&lt;5,0,IF(MAX(AN38:AS38)&gt;AS43+1+$B$18,1,0))</f>
        <v>1</v>
      </c>
      <c r="AT50" s="352" t="n">
        <f aca="false">IF(42&lt;5,0,IF(MAX(AO38:AT38)&gt;AT43+1+$B$18,1,0))</f>
        <v>1</v>
      </c>
      <c r="AU50" s="352" t="n">
        <f aca="false">IF(43&lt;5,0,IF(MAX(AP38:AU38)&gt;AU43+1+$B$18,1,0))</f>
        <v>1</v>
      </c>
      <c r="AV50" s="352" t="n">
        <f aca="false">IF(44&lt;5,0,IF(MAX(AQ38:AV38)&gt;AV43+1+$B$18,1,0))</f>
        <v>1</v>
      </c>
      <c r="AW50" s="352" t="n">
        <f aca="false">IF(45&lt;5,0,IF(MAX(AR38:AW38)&gt;AW43+1+$B$18,1,0))</f>
        <v>1</v>
      </c>
      <c r="AX50" s="352" t="n">
        <f aca="false">IF(46&lt;5,0,IF(MAX(AS38:AX38)&gt;AX43+1+$B$18,1,0))</f>
        <v>1</v>
      </c>
      <c r="AY50" s="352" t="n">
        <f aca="false">IF(47&lt;5,0,IF(MAX(AT38:AY38)&gt;AY43+1+$B$18,1,0))</f>
        <v>1</v>
      </c>
      <c r="AZ50" s="352" t="n">
        <f aca="false">IF(48&lt;5,0,IF(MAX(AU38:AZ38)&gt;AZ43+1+$B$18,1,0))</f>
        <v>1</v>
      </c>
      <c r="BA50" s="352" t="n">
        <f aca="false">IF(49&lt;5,0,IF(MAX(AV38:BA38)&gt;BA43+1+$B$18,1,0))</f>
        <v>1</v>
      </c>
      <c r="BB50" s="352" t="n">
        <f aca="false">IF(50&lt;5,0,IF(MAX(AW38:BB38)&gt;BB43+1+$B$18,1,0))</f>
        <v>1</v>
      </c>
      <c r="BC50" s="352" t="n">
        <f aca="false">IF(51&lt;5,0,IF(MAX(AX38:BC38)&gt;BC43+1+$B$18,1,0))</f>
        <v>1</v>
      </c>
      <c r="BD50" s="352" t="n">
        <f aca="false">IF(52&lt;5,0,IF(MAX(AY38:BD38)&gt;BD43+1+$B$18,1,0))</f>
        <v>1</v>
      </c>
      <c r="BE50" s="352" t="n">
        <f aca="false">IF(53&lt;5,0,IF(MAX(AZ38:BE38)&gt;BE43+1+$B$18,1,0))</f>
        <v>1</v>
      </c>
      <c r="BF50" s="352" t="n">
        <f aca="false">IF(54&lt;5,0,IF(MAX(BA38:BF38)&gt;BF43+1+$B$18,1,0))</f>
        <v>1</v>
      </c>
      <c r="BG50" s="352" t="n">
        <f aca="false">IF(55&lt;5,0,IF(MAX(BB38:BG38)&gt;BG43+1+$B$18,1,0))</f>
        <v>1</v>
      </c>
      <c r="BH50" s="352" t="n">
        <f aca="false">IF(56&lt;5,0,IF(MAX(BC38:BH38)&gt;BH43+1+$B$18,1,0))</f>
        <v>1</v>
      </c>
      <c r="BI50" s="352" t="n">
        <f aca="false">IF(57&lt;5,0,IF(MAX(BD38:BI38)&gt;BI43+1+$B$18,1,0))</f>
        <v>1</v>
      </c>
      <c r="BJ50" s="352" t="n">
        <f aca="false">IF(58&lt;5,0,IF(MAX(BE38:BJ38)&gt;BJ43+1+$B$18,1,0))</f>
        <v>1</v>
      </c>
      <c r="BK50" s="352" t="n">
        <f aca="false">IF(59&lt;5,0,IF(MAX(BF38:BK38)&gt;BK43+1+$B$18,1,0))</f>
        <v>1</v>
      </c>
      <c r="BL50" s="352" t="n">
        <f aca="false">IF(60&lt;5,0,IF(MAX(BG38:BL38)&gt;BL43+1+$B$18,1,0))</f>
        <v>1</v>
      </c>
      <c r="BM50" s="352" t="n">
        <f aca="false">IF(61&lt;5,0,IF(MAX(BH38:BM38)&gt;BM43+1+$B$18,1,0))</f>
        <v>1</v>
      </c>
      <c r="BN50" s="352" t="n">
        <f aca="false">IF(62&lt;5,0,IF(MAX(BI38:BN38)&gt;BN43+1+$B$18,1,0))</f>
        <v>1</v>
      </c>
      <c r="BO50" s="352" t="n">
        <f aca="false">IF(63&lt;5,0,IF(MAX(BJ38:BO38)&gt;BO43+1+$B$18,1,0))</f>
        <v>1</v>
      </c>
      <c r="BP50" s="352" t="n">
        <f aca="false">IF(64&lt;5,0,IF(MAX(BK38:BP38)&gt;BP43+1+$B$18,1,0))</f>
        <v>1</v>
      </c>
      <c r="BQ50" s="352" t="n">
        <f aca="false">IF(65&lt;5,0,IF(MAX(BL38:BQ38)&gt;BQ43+1+$B$18,1,0))</f>
        <v>1</v>
      </c>
      <c r="BR50" s="352" t="n">
        <f aca="false">IF(66&lt;5,0,IF(MAX(BM38:BR38)&gt;BR43+1+$B$18,1,0))</f>
        <v>1</v>
      </c>
      <c r="BS50" s="352" t="n">
        <f aca="false">IF(67&lt;5,0,IF(MAX(BN38:BS38)&gt;BS43+1+$B$18,1,0))</f>
        <v>1</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1184</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1</v>
      </c>
      <c r="AC51" s="352" t="n">
        <f aca="false">IF(25&lt;5,0,IF(MAX(X38:AC38)&gt;AC43+2+$B$18,1,0))</f>
        <v>1</v>
      </c>
      <c r="AD51" s="352" t="n">
        <f aca="false">IF(26&lt;5,0,IF(MAX(Y38:AD38)&gt;AD43+2+$B$18,1,0))</f>
        <v>1</v>
      </c>
      <c r="AE51" s="352" t="n">
        <f aca="false">IF(27&lt;5,0,IF(MAX(Z38:AE38)&gt;AE43+2+$B$18,1,0))</f>
        <v>1</v>
      </c>
      <c r="AF51" s="352" t="n">
        <f aca="false">IF(28&lt;5,0,IF(MAX(AA38:AF38)&gt;AF43+2+$B$18,1,0))</f>
        <v>1</v>
      </c>
      <c r="AG51" s="352" t="n">
        <f aca="false">IF(29&lt;5,0,IF(MAX(AB38:AG38)&gt;AG43+2+$B$18,1,0))</f>
        <v>1</v>
      </c>
      <c r="AH51" s="352" t="n">
        <f aca="false">IF(30&lt;5,0,IF(MAX(AC38:AH38)&gt;AH43+2+$B$18,1,0))</f>
        <v>1</v>
      </c>
      <c r="AI51" s="352" t="n">
        <f aca="false">IF(31&lt;5,0,IF(MAX(AD38:AI38)&gt;AI43+2+$B$18,1,0))</f>
        <v>1</v>
      </c>
      <c r="AJ51" s="352" t="n">
        <f aca="false">IF(32&lt;5,0,IF(MAX(AE38:AJ38)&gt;AJ43+2+$B$18,1,0))</f>
        <v>1</v>
      </c>
      <c r="AK51" s="352" t="n">
        <f aca="false">IF(33&lt;5,0,IF(MAX(AF38:AK38)&gt;AK43+2+$B$18,1,0))</f>
        <v>1</v>
      </c>
      <c r="AL51" s="352" t="n">
        <f aca="false">IF(34&lt;5,0,IF(MAX(AG38:AL38)&gt;AL43+2+$B$18,1,0))</f>
        <v>1</v>
      </c>
      <c r="AM51" s="352" t="n">
        <f aca="false">IF(35&lt;5,0,IF(MAX(AH38:AM38)&gt;AM43+2+$B$18,1,0))</f>
        <v>1</v>
      </c>
      <c r="AN51" s="352" t="n">
        <f aca="false">IF(36&lt;5,0,IF(MAX(AI38:AN38)&gt;AN43+2+$B$18,1,0))</f>
        <v>1</v>
      </c>
      <c r="AO51" s="352" t="n">
        <f aca="false">IF(37&lt;5,0,IF(MAX(AJ38:AO38)&gt;AO43+2+$B$18,1,0))</f>
        <v>1</v>
      </c>
      <c r="AP51" s="352" t="n">
        <f aca="false">IF(38&lt;5,0,IF(MAX(AK38:AP38)&gt;AP43+2+$B$18,1,0))</f>
        <v>1</v>
      </c>
      <c r="AQ51" s="352" t="n">
        <f aca="false">IF(39&lt;5,0,IF(MAX(AL38:AQ38)&gt;AQ43+2+$B$18,1,0))</f>
        <v>1</v>
      </c>
      <c r="AR51" s="352" t="n">
        <f aca="false">IF(40&lt;5,0,IF(MAX(AM38:AR38)&gt;AR43+2+$B$18,1,0))</f>
        <v>1</v>
      </c>
      <c r="AS51" s="352" t="n">
        <f aca="false">IF(41&lt;5,0,IF(MAX(AN38:AS38)&gt;AS43+2+$B$18,1,0))</f>
        <v>1</v>
      </c>
      <c r="AT51" s="352" t="n">
        <f aca="false">IF(42&lt;5,0,IF(MAX(AO38:AT38)&gt;AT43+2+$B$18,1,0))</f>
        <v>1</v>
      </c>
      <c r="AU51" s="352" t="n">
        <f aca="false">IF(43&lt;5,0,IF(MAX(AP38:AU38)&gt;AU43+2+$B$18,1,0))</f>
        <v>1</v>
      </c>
      <c r="AV51" s="352" t="n">
        <f aca="false">IF(44&lt;5,0,IF(MAX(AQ38:AV38)&gt;AV43+2+$B$18,1,0))</f>
        <v>1</v>
      </c>
      <c r="AW51" s="352" t="n">
        <f aca="false">IF(45&lt;5,0,IF(MAX(AR38:AW38)&gt;AW43+2+$B$18,1,0))</f>
        <v>1</v>
      </c>
      <c r="AX51" s="352" t="n">
        <f aca="false">IF(46&lt;5,0,IF(MAX(AS38:AX38)&gt;AX43+2+$B$18,1,0))</f>
        <v>1</v>
      </c>
      <c r="AY51" s="352" t="n">
        <f aca="false">IF(47&lt;5,0,IF(MAX(AT38:AY38)&gt;AY43+2+$B$18,1,0))</f>
        <v>1</v>
      </c>
      <c r="AZ51" s="352" t="n">
        <f aca="false">IF(48&lt;5,0,IF(MAX(AU38:AZ38)&gt;AZ43+2+$B$18,1,0))</f>
        <v>1</v>
      </c>
      <c r="BA51" s="352" t="n">
        <f aca="false">IF(49&lt;5,0,IF(MAX(AV38:BA38)&gt;BA43+2+$B$18,1,0))</f>
        <v>1</v>
      </c>
      <c r="BB51" s="352" t="n">
        <f aca="false">IF(50&lt;5,0,IF(MAX(AW38:BB38)&gt;BB43+2+$B$18,1,0))</f>
        <v>1</v>
      </c>
      <c r="BC51" s="352" t="n">
        <f aca="false">IF(51&lt;5,0,IF(MAX(AX38:BC38)&gt;BC43+2+$B$18,1,0))</f>
        <v>1</v>
      </c>
      <c r="BD51" s="352" t="n">
        <f aca="false">IF(52&lt;5,0,IF(MAX(AY38:BD38)&gt;BD43+2+$B$18,1,0))</f>
        <v>1</v>
      </c>
      <c r="BE51" s="352" t="n">
        <f aca="false">IF(53&lt;5,0,IF(MAX(AZ38:BE38)&gt;BE43+2+$B$18,1,0))</f>
        <v>1</v>
      </c>
      <c r="BF51" s="352" t="n">
        <f aca="false">IF(54&lt;5,0,IF(MAX(BA38:BF38)&gt;BF43+2+$B$18,1,0))</f>
        <v>1</v>
      </c>
      <c r="BG51" s="352" t="n">
        <f aca="false">IF(55&lt;5,0,IF(MAX(BB38:BG38)&gt;BG43+2+$B$18,1,0))</f>
        <v>1</v>
      </c>
      <c r="BH51" s="352" t="n">
        <f aca="false">IF(56&lt;5,0,IF(MAX(BC38:BH38)&gt;BH43+2+$B$18,1,0))</f>
        <v>1</v>
      </c>
      <c r="BI51" s="352" t="n">
        <f aca="false">IF(57&lt;5,0,IF(MAX(BD38:BI38)&gt;BI43+2+$B$18,1,0))</f>
        <v>1</v>
      </c>
      <c r="BJ51" s="352" t="n">
        <f aca="false">IF(58&lt;5,0,IF(MAX(BE38:BJ38)&gt;BJ43+2+$B$18,1,0))</f>
        <v>1</v>
      </c>
      <c r="BK51" s="352" t="n">
        <f aca="false">IF(59&lt;5,0,IF(MAX(BF38:BK38)&gt;BK43+2+$B$18,1,0))</f>
        <v>1</v>
      </c>
      <c r="BL51" s="352" t="n">
        <f aca="false">IF(60&lt;5,0,IF(MAX(BG38:BL38)&gt;BL43+2+$B$18,1,0))</f>
        <v>1</v>
      </c>
      <c r="BM51" s="352" t="n">
        <f aca="false">IF(61&lt;5,0,IF(MAX(BH38:BM38)&gt;BM43+2+$B$18,1,0))</f>
        <v>1</v>
      </c>
      <c r="BN51" s="352" t="n">
        <f aca="false">IF(62&lt;5,0,IF(MAX(BI38:BN38)&gt;BN43+2+$B$18,1,0))</f>
        <v>1</v>
      </c>
      <c r="BO51" s="352" t="n">
        <f aca="false">IF(63&lt;5,0,IF(MAX(BJ38:BO38)&gt;BO43+2+$B$18,1,0))</f>
        <v>1</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1185</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1</v>
      </c>
      <c r="R52" s="352" t="n">
        <f aca="false">IF(14&lt;5,0,IF(MAX(M38:R38)&gt;R43+3+$B$18,1,0))</f>
        <v>1</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1</v>
      </c>
      <c r="AA52" s="352" t="n">
        <f aca="false">IF(23&lt;5,0,IF(MAX(V38:AA38)&gt;AA43+3+$B$18,1,0))</f>
        <v>1</v>
      </c>
      <c r="AB52" s="352" t="n">
        <f aca="false">IF(24&lt;5,0,IF(MAX(W38:AB38)&gt;AB43+3+$B$18,1,0))</f>
        <v>1</v>
      </c>
      <c r="AC52" s="352" t="n">
        <f aca="false">IF(25&lt;5,0,IF(MAX(X38:AC38)&gt;AC43+3+$B$18,1,0))</f>
        <v>1</v>
      </c>
      <c r="AD52" s="352" t="n">
        <f aca="false">IF(26&lt;5,0,IF(MAX(Y38:AD38)&gt;AD43+3+$B$18,1,0))</f>
        <v>1</v>
      </c>
      <c r="AE52" s="352" t="n">
        <f aca="false">IF(27&lt;5,0,IF(MAX(Z38:AE38)&gt;AE43+3+$B$18,1,0))</f>
        <v>1</v>
      </c>
      <c r="AF52" s="352" t="n">
        <f aca="false">IF(28&lt;5,0,IF(MAX(AA38:AF38)&gt;AF43+3+$B$18,1,0))</f>
        <v>1</v>
      </c>
      <c r="AG52" s="352" t="n">
        <f aca="false">IF(29&lt;5,0,IF(MAX(AB38:AG38)&gt;AG43+3+$B$18,1,0))</f>
        <v>1</v>
      </c>
      <c r="AH52" s="352" t="n">
        <f aca="false">IF(30&lt;5,0,IF(MAX(AC38:AH38)&gt;AH43+3+$B$18,1,0))</f>
        <v>1</v>
      </c>
      <c r="AI52" s="352" t="n">
        <f aca="false">IF(31&lt;5,0,IF(MAX(AD38:AI38)&gt;AI43+3+$B$18,1,0))</f>
        <v>1</v>
      </c>
      <c r="AJ52" s="352" t="n">
        <f aca="false">IF(32&lt;5,0,IF(MAX(AE38:AJ38)&gt;AJ43+3+$B$18,1,0))</f>
        <v>1</v>
      </c>
      <c r="AK52" s="352" t="n">
        <f aca="false">IF(33&lt;5,0,IF(MAX(AF38:AK38)&gt;AK43+3+$B$18,1,0))</f>
        <v>1</v>
      </c>
      <c r="AL52" s="352" t="n">
        <f aca="false">IF(34&lt;5,0,IF(MAX(AG38:AL38)&gt;AL43+3+$B$18,1,0))</f>
        <v>1</v>
      </c>
      <c r="AM52" s="352" t="n">
        <f aca="false">IF(35&lt;5,0,IF(MAX(AH38:AM38)&gt;AM43+3+$B$18,1,0))</f>
        <v>1</v>
      </c>
      <c r="AN52" s="352" t="n">
        <f aca="false">IF(36&lt;5,0,IF(MAX(AI38:AN38)&gt;AN43+3+$B$18,1,0))</f>
        <v>1</v>
      </c>
      <c r="AO52" s="352" t="n">
        <f aca="false">IF(37&lt;5,0,IF(MAX(AJ38:AO38)&gt;AO43+3+$B$18,1,0))</f>
        <v>1</v>
      </c>
      <c r="AP52" s="352" t="n">
        <f aca="false">IF(38&lt;5,0,IF(MAX(AK38:AP38)&gt;AP43+3+$B$18,1,0))</f>
        <v>1</v>
      </c>
      <c r="AQ52" s="352" t="n">
        <f aca="false">IF(39&lt;5,0,IF(MAX(AL38:AQ38)&gt;AQ43+3+$B$18,1,0))</f>
        <v>1</v>
      </c>
      <c r="AR52" s="352" t="n">
        <f aca="false">IF(40&lt;5,0,IF(MAX(AM38:AR38)&gt;AR43+3+$B$18,1,0))</f>
        <v>1</v>
      </c>
      <c r="AS52" s="352" t="n">
        <f aca="false">IF(41&lt;5,0,IF(MAX(AN38:AS38)&gt;AS43+3+$B$18,1,0))</f>
        <v>1</v>
      </c>
      <c r="AT52" s="352" t="n">
        <f aca="false">IF(42&lt;5,0,IF(MAX(AO38:AT38)&gt;AT43+3+$B$18,1,0))</f>
        <v>1</v>
      </c>
      <c r="AU52" s="352" t="n">
        <f aca="false">IF(43&lt;5,0,IF(MAX(AP38:AU38)&gt;AU43+3+$B$18,1,0))</f>
        <v>1</v>
      </c>
      <c r="AV52" s="352" t="n">
        <f aca="false">IF(44&lt;5,0,IF(MAX(AQ38:AV38)&gt;AV43+3+$B$18,1,0))</f>
        <v>1</v>
      </c>
      <c r="AW52" s="352" t="n">
        <f aca="false">IF(45&lt;5,0,IF(MAX(AR38:AW38)&gt;AW43+3+$B$18,1,0))</f>
        <v>1</v>
      </c>
      <c r="AX52" s="352" t="n">
        <f aca="false">IF(46&lt;5,0,IF(MAX(AS38:AX38)&gt;AX43+3+$B$18,1,0))</f>
        <v>1</v>
      </c>
      <c r="AY52" s="352" t="n">
        <f aca="false">IF(47&lt;5,0,IF(MAX(AT38:AY38)&gt;AY43+3+$B$18,1,0))</f>
        <v>1</v>
      </c>
      <c r="AZ52" s="352" t="n">
        <f aca="false">IF(48&lt;5,0,IF(MAX(AU38:AZ38)&gt;AZ43+3+$B$18,1,0))</f>
        <v>1</v>
      </c>
      <c r="BA52" s="352" t="n">
        <f aca="false">IF(49&lt;5,0,IF(MAX(AV38:BA38)&gt;BA43+3+$B$18,1,0))</f>
        <v>1</v>
      </c>
      <c r="BB52" s="352" t="n">
        <f aca="false">IF(50&lt;5,0,IF(MAX(AW38:BB38)&gt;BB43+3+$B$18,1,0))</f>
        <v>1</v>
      </c>
      <c r="BC52" s="352" t="n">
        <f aca="false">IF(51&lt;5,0,IF(MAX(AX38:BC38)&gt;BC43+3+$B$18,1,0))</f>
        <v>1</v>
      </c>
      <c r="BD52" s="352" t="n">
        <f aca="false">IF(52&lt;5,0,IF(MAX(AY38:BD38)&gt;BD43+3+$B$18,1,0))</f>
        <v>1</v>
      </c>
      <c r="BE52" s="352" t="n">
        <f aca="false">IF(53&lt;5,0,IF(MAX(AZ38:BE38)&gt;BE43+3+$B$18,1,0))</f>
        <v>1</v>
      </c>
      <c r="BF52" s="352" t="n">
        <f aca="false">IF(54&lt;5,0,IF(MAX(BA38:BF38)&gt;BF43+3+$B$18,1,0))</f>
        <v>1</v>
      </c>
      <c r="BG52" s="352" t="n">
        <f aca="false">IF(55&lt;5,0,IF(MAX(BB38:BG38)&gt;BG43+3+$B$18,1,0))</f>
        <v>1</v>
      </c>
      <c r="BH52" s="352" t="n">
        <f aca="false">IF(56&lt;5,0,IF(MAX(BC38:BH38)&gt;BH43+3+$B$18,1,0))</f>
        <v>1</v>
      </c>
      <c r="BI52" s="352" t="n">
        <f aca="false">IF(57&lt;5,0,IF(MAX(BD38:BI38)&gt;BI43+3+$B$18,1,0))</f>
        <v>1</v>
      </c>
      <c r="BJ52" s="352" t="n">
        <f aca="false">IF(58&lt;5,0,IF(MAX(BE38:BJ38)&gt;BJ43+3+$B$18,1,0))</f>
        <v>1</v>
      </c>
      <c r="BK52" s="352" t="n">
        <f aca="false">IF(59&lt;5,0,IF(MAX(BF38:BK38)&gt;BK43+3+$B$18,1,0))</f>
        <v>1</v>
      </c>
      <c r="BL52" s="352" t="n">
        <f aca="false">IF(60&lt;5,0,IF(MAX(BG38:BL38)&gt;BL43+3+$B$18,1,0))</f>
        <v>1</v>
      </c>
      <c r="BM52" s="352" t="n">
        <f aca="false">IF(61&lt;5,0,IF(MAX(BH38:BM38)&gt;BM43+3+$B$18,1,0))</f>
        <v>1</v>
      </c>
      <c r="BN52" s="352" t="n">
        <f aca="false">IF(62&lt;5,0,IF(MAX(BI38:BN38)&gt;BN43+3+$B$18,1,0))</f>
        <v>1</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1186</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1</v>
      </c>
      <c r="S53" s="352" t="n">
        <f aca="false">IF(15&lt;5,0,IF(MAX(N38:S38)&gt;S43+4+$B$18,1,0))</f>
        <v>1</v>
      </c>
      <c r="T53" s="352" t="n">
        <f aca="false">IF(16&lt;5,0,IF(MAX(O38:T38)&gt;T43+4+$B$18,1,0))</f>
        <v>1</v>
      </c>
      <c r="U53" s="352" t="n">
        <f aca="false">IF(17&lt;5,0,IF(MAX(P38:U38)&gt;U43+4+$B$18,1,0))</f>
        <v>1</v>
      </c>
      <c r="V53" s="352" t="n">
        <f aca="false">IF(18&lt;5,0,IF(MAX(Q38:V38)&gt;V43+4+$B$18,1,0))</f>
        <v>1</v>
      </c>
      <c r="W53" s="352" t="n">
        <f aca="false">IF(19&lt;5,0,IF(MAX(R38:W38)&gt;W43+4+$B$18,1,0))</f>
        <v>1</v>
      </c>
      <c r="X53" s="352" t="n">
        <f aca="false">IF(20&lt;5,0,IF(MAX(S38:X38)&gt;X43+4+$B$18,1,0))</f>
        <v>1</v>
      </c>
      <c r="Y53" s="352" t="n">
        <f aca="false">IF(21&lt;5,0,IF(MAX(T38:Y38)&gt;Y43+4+$B$18,1,0))</f>
        <v>1</v>
      </c>
      <c r="Z53" s="352" t="n">
        <f aca="false">IF(22&lt;5,0,IF(MAX(U38:Z38)&gt;Z43+4+$B$18,1,0))</f>
        <v>1</v>
      </c>
      <c r="AA53" s="352" t="n">
        <f aca="false">IF(23&lt;5,0,IF(MAX(V38:AA38)&gt;AA43+4+$B$18,1,0))</f>
        <v>1</v>
      </c>
      <c r="AB53" s="352" t="n">
        <f aca="false">IF(24&lt;5,0,IF(MAX(W38:AB38)&gt;AB43+4+$B$18,1,0))</f>
        <v>1</v>
      </c>
      <c r="AC53" s="352" t="n">
        <f aca="false">IF(25&lt;5,0,IF(MAX(X38:AC38)&gt;AC43+4+$B$18,1,0))</f>
        <v>1</v>
      </c>
      <c r="AD53" s="352" t="n">
        <f aca="false">IF(26&lt;5,0,IF(MAX(Y38:AD38)&gt;AD43+4+$B$18,1,0))</f>
        <v>1</v>
      </c>
      <c r="AE53" s="352" t="n">
        <f aca="false">IF(27&lt;5,0,IF(MAX(Z38:AE38)&gt;AE43+4+$B$18,1,0))</f>
        <v>1</v>
      </c>
      <c r="AF53" s="352" t="n">
        <f aca="false">IF(28&lt;5,0,IF(MAX(AA38:AF38)&gt;AF43+4+$B$18,1,0))</f>
        <v>1</v>
      </c>
      <c r="AG53" s="352" t="n">
        <f aca="false">IF(29&lt;5,0,IF(MAX(AB38:AG38)&gt;AG43+4+$B$18,1,0))</f>
        <v>1</v>
      </c>
      <c r="AH53" s="352" t="n">
        <f aca="false">IF(30&lt;5,0,IF(MAX(AC38:AH38)&gt;AH43+4+$B$18,1,0))</f>
        <v>1</v>
      </c>
      <c r="AI53" s="352" t="n">
        <f aca="false">IF(31&lt;5,0,IF(MAX(AD38:AI38)&gt;AI43+4+$B$18,1,0))</f>
        <v>1</v>
      </c>
      <c r="AJ53" s="352" t="n">
        <f aca="false">IF(32&lt;5,0,IF(MAX(AE38:AJ38)&gt;AJ43+4+$B$18,1,0))</f>
        <v>1</v>
      </c>
      <c r="AK53" s="352" t="n">
        <f aca="false">IF(33&lt;5,0,IF(MAX(AF38:AK38)&gt;AK43+4+$B$18,1,0))</f>
        <v>1</v>
      </c>
      <c r="AL53" s="352" t="n">
        <f aca="false">IF(34&lt;5,0,IF(MAX(AG38:AL38)&gt;AL43+4+$B$18,1,0))</f>
        <v>1</v>
      </c>
      <c r="AM53" s="352" t="n">
        <f aca="false">IF(35&lt;5,0,IF(MAX(AH38:AM38)&gt;AM43+4+$B$18,1,0))</f>
        <v>1</v>
      </c>
      <c r="AN53" s="352" t="n">
        <f aca="false">IF(36&lt;5,0,IF(MAX(AI38:AN38)&gt;AN43+4+$B$18,1,0))</f>
        <v>1</v>
      </c>
      <c r="AO53" s="352" t="n">
        <f aca="false">IF(37&lt;5,0,IF(MAX(AJ38:AO38)&gt;AO43+4+$B$18,1,0))</f>
        <v>1</v>
      </c>
      <c r="AP53" s="352" t="n">
        <f aca="false">IF(38&lt;5,0,IF(MAX(AK38:AP38)&gt;AP43+4+$B$18,1,0))</f>
        <v>1</v>
      </c>
      <c r="AQ53" s="352" t="n">
        <f aca="false">IF(39&lt;5,0,IF(MAX(AL38:AQ38)&gt;AQ43+4+$B$18,1,0))</f>
        <v>1</v>
      </c>
      <c r="AR53" s="352" t="n">
        <f aca="false">IF(40&lt;5,0,IF(MAX(AM38:AR38)&gt;AR43+4+$B$18,1,0))</f>
        <v>1</v>
      </c>
      <c r="AS53" s="352" t="n">
        <f aca="false">IF(41&lt;5,0,IF(MAX(AN38:AS38)&gt;AS43+4+$B$18,1,0))</f>
        <v>1</v>
      </c>
      <c r="AT53" s="352" t="n">
        <f aca="false">IF(42&lt;5,0,IF(MAX(AO38:AT38)&gt;AT43+4+$B$18,1,0))</f>
        <v>1</v>
      </c>
      <c r="AU53" s="352" t="n">
        <f aca="false">IF(43&lt;5,0,IF(MAX(AP38:AU38)&gt;AU43+4+$B$18,1,0))</f>
        <v>1</v>
      </c>
      <c r="AV53" s="352" t="n">
        <f aca="false">IF(44&lt;5,0,IF(MAX(AQ38:AV38)&gt;AV43+4+$B$18,1,0))</f>
        <v>1</v>
      </c>
      <c r="AW53" s="352" t="n">
        <f aca="false">IF(45&lt;5,0,IF(MAX(AR38:AW38)&gt;AW43+4+$B$18,1,0))</f>
        <v>1</v>
      </c>
      <c r="AX53" s="352" t="n">
        <f aca="false">IF(46&lt;5,0,IF(MAX(AS38:AX38)&gt;AX43+4+$B$18,1,0))</f>
        <v>1</v>
      </c>
      <c r="AY53" s="352" t="n">
        <f aca="false">IF(47&lt;5,0,IF(MAX(AT38:AY38)&gt;AY43+4+$B$18,1,0))</f>
        <v>1</v>
      </c>
      <c r="AZ53" s="352" t="n">
        <f aca="false">IF(48&lt;5,0,IF(MAX(AU38:AZ38)&gt;AZ43+4+$B$18,1,0))</f>
        <v>1</v>
      </c>
      <c r="BA53" s="352" t="n">
        <f aca="false">IF(49&lt;5,0,IF(MAX(AV38:BA38)&gt;BA43+4+$B$18,1,0))</f>
        <v>1</v>
      </c>
      <c r="BB53" s="352" t="n">
        <f aca="false">IF(50&lt;5,0,IF(MAX(AW38:BB38)&gt;BB43+4+$B$18,1,0))</f>
        <v>1</v>
      </c>
      <c r="BC53" s="352" t="n">
        <f aca="false">IF(51&lt;5,0,IF(MAX(AX38:BC38)&gt;BC43+4+$B$18,1,0))</f>
        <v>1</v>
      </c>
      <c r="BD53" s="352" t="n">
        <f aca="false">IF(52&lt;5,0,IF(MAX(AY38:BD38)&gt;BD43+4+$B$18,1,0))</f>
        <v>1</v>
      </c>
      <c r="BE53" s="352" t="n">
        <f aca="false">IF(53&lt;5,0,IF(MAX(AZ38:BE38)&gt;BE43+4+$B$18,1,0))</f>
        <v>1</v>
      </c>
      <c r="BF53" s="352" t="n">
        <f aca="false">IF(54&lt;5,0,IF(MAX(BA38:BF38)&gt;BF43+4+$B$18,1,0))</f>
        <v>1</v>
      </c>
      <c r="BG53" s="352" t="n">
        <f aca="false">IF(55&lt;5,0,IF(MAX(BB38:BG38)&gt;BG43+4+$B$18,1,0))</f>
        <v>1</v>
      </c>
      <c r="BH53" s="352" t="n">
        <f aca="false">IF(56&lt;5,0,IF(MAX(BC38:BH38)&gt;BH43+4+$B$18,1,0))</f>
        <v>1</v>
      </c>
      <c r="BI53" s="352" t="n">
        <f aca="false">IF(57&lt;5,0,IF(MAX(BD38:BI38)&gt;BI43+4+$B$18,1,0))</f>
        <v>1</v>
      </c>
      <c r="BJ53" s="352" t="n">
        <f aca="false">IF(58&lt;5,0,IF(MAX(BE38:BJ38)&gt;BJ43+4+$B$18,1,0))</f>
        <v>1</v>
      </c>
      <c r="BK53" s="352" t="n">
        <f aca="false">IF(59&lt;5,0,IF(MAX(BF38:BK38)&gt;BK43+4+$B$18,1,0))</f>
        <v>1</v>
      </c>
      <c r="BL53" s="352" t="n">
        <f aca="false">IF(60&lt;5,0,IF(MAX(BG38:BL38)&gt;BL43+4+$B$18,1,0))</f>
        <v>1</v>
      </c>
      <c r="BM53" s="352" t="n">
        <f aca="false">IF(61&lt;5,0,IF(MAX(BH38:BM38)&gt;BM43+4+$B$18,1,0))</f>
        <v>1</v>
      </c>
      <c r="BN53" s="352" t="n">
        <f aca="false">IF(62&lt;5,0,IF(MAX(BI38:BN38)&gt;BN43+4+$B$18,1,0))</f>
        <v>1</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1187</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1</v>
      </c>
      <c r="AO54" s="352" t="n">
        <f aca="false">IF(37&lt;5,0,IF(MAX(AJ38:AO38)&gt;AO43+5+$B$18,1,0))</f>
        <v>1</v>
      </c>
      <c r="AP54" s="352" t="n">
        <f aca="false">IF(38&lt;5,0,IF(MAX(AK38:AP38)&gt;AP43+5+$B$18,1,0))</f>
        <v>1</v>
      </c>
      <c r="AQ54" s="352" t="n">
        <f aca="false">IF(39&lt;5,0,IF(MAX(AL38:AQ38)&gt;AQ43+5+$B$18,1,0))</f>
        <v>1</v>
      </c>
      <c r="AR54" s="352" t="n">
        <f aca="false">IF(40&lt;5,0,IF(MAX(AM38:AR38)&gt;AR43+5+$B$18,1,0))</f>
        <v>1</v>
      </c>
      <c r="AS54" s="352" t="n">
        <f aca="false">IF(41&lt;5,0,IF(MAX(AN38:AS38)&gt;AS43+5+$B$18,1,0))</f>
        <v>1</v>
      </c>
      <c r="AT54" s="352" t="n">
        <f aca="false">IF(42&lt;5,0,IF(MAX(AO38:AT38)&gt;AT43+5+$B$18,1,0))</f>
        <v>1</v>
      </c>
      <c r="AU54" s="352" t="n">
        <f aca="false">IF(43&lt;5,0,IF(MAX(AP38:AU38)&gt;AU43+5+$B$18,1,0))</f>
        <v>1</v>
      </c>
      <c r="AV54" s="352" t="n">
        <f aca="false">IF(44&lt;5,0,IF(MAX(AQ38:AV38)&gt;AV43+5+$B$18,1,0))</f>
        <v>1</v>
      </c>
      <c r="AW54" s="352" t="n">
        <f aca="false">IF(45&lt;5,0,IF(MAX(AR38:AW38)&gt;AW43+5+$B$18,1,0))</f>
        <v>1</v>
      </c>
      <c r="AX54" s="352" t="n">
        <f aca="false">IF(46&lt;5,0,IF(MAX(AS38:AX38)&gt;AX43+5+$B$18,1,0))</f>
        <v>1</v>
      </c>
      <c r="AY54" s="352" t="n">
        <f aca="false">IF(47&lt;5,0,IF(MAX(AT38:AY38)&gt;AY43+5+$B$18,1,0))</f>
        <v>1</v>
      </c>
      <c r="AZ54" s="352" t="n">
        <f aca="false">IF(48&lt;5,0,IF(MAX(AU38:AZ38)&gt;AZ43+5+$B$18,1,0))</f>
        <v>1</v>
      </c>
      <c r="BA54" s="352" t="n">
        <f aca="false">IF(49&lt;5,0,IF(MAX(AV38:BA38)&gt;BA43+5+$B$18,1,0))</f>
        <v>1</v>
      </c>
      <c r="BB54" s="352" t="n">
        <f aca="false">IF(50&lt;5,0,IF(MAX(AW38:BB38)&gt;BB43+5+$B$18,1,0))</f>
        <v>1</v>
      </c>
      <c r="BC54" s="352" t="n">
        <f aca="false">IF(51&lt;5,0,IF(MAX(AX38:BC38)&gt;BC43+5+$B$18,1,0))</f>
        <v>1</v>
      </c>
      <c r="BD54" s="352" t="n">
        <f aca="false">IF(52&lt;5,0,IF(MAX(AY38:BD38)&gt;BD43+5+$B$18,1,0))</f>
        <v>1</v>
      </c>
      <c r="BE54" s="352" t="n">
        <f aca="false">IF(53&lt;5,0,IF(MAX(AZ38:BE38)&gt;BE43+5+$B$18,1,0))</f>
        <v>1</v>
      </c>
      <c r="BF54" s="352" t="n">
        <f aca="false">IF(54&lt;5,0,IF(MAX(BA38:BF38)&gt;BF43+5+$B$18,1,0))</f>
        <v>1</v>
      </c>
      <c r="BG54" s="352" t="n">
        <f aca="false">IF(55&lt;5,0,IF(MAX(BB38:BG38)&gt;BG43+5+$B$18,1,0))</f>
        <v>1</v>
      </c>
      <c r="BH54" s="352" t="n">
        <f aca="false">IF(56&lt;5,0,IF(MAX(BC38:BH38)&gt;BH43+5+$B$18,1,0))</f>
        <v>1</v>
      </c>
      <c r="BI54" s="352" t="n">
        <f aca="false">IF(57&lt;5,0,IF(MAX(BD38:BI38)&gt;BI43+5+$B$18,1,0))</f>
        <v>1</v>
      </c>
      <c r="BJ54" s="352" t="n">
        <f aca="false">IF(58&lt;5,0,IF(MAX(BE38:BJ38)&gt;BJ43+5+$B$18,1,0))</f>
        <v>1</v>
      </c>
      <c r="BK54" s="352" t="n">
        <f aca="false">IF(59&lt;5,0,IF(MAX(BF38:BK38)&gt;BK43+5+$B$18,1,0))</f>
        <v>1</v>
      </c>
      <c r="BL54" s="352" t="n">
        <f aca="false">IF(60&lt;5,0,IF(MAX(BG38:BL38)&gt;BL43+5+$B$18,1,0))</f>
        <v>1</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1188</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1</v>
      </c>
      <c r="AP55" s="352" t="n">
        <f aca="false">IF(38&lt;5,0,IF(MAX(AK38:AP38)&gt;AP43+6+$B$18,1,0))</f>
        <v>1</v>
      </c>
      <c r="AQ55" s="352" t="n">
        <f aca="false">IF(39&lt;5,0,IF(MAX(AL38:AQ38)&gt;AQ43+6+$B$18,1,0))</f>
        <v>1</v>
      </c>
      <c r="AR55" s="352" t="n">
        <f aca="false">IF(40&lt;5,0,IF(MAX(AM38:AR38)&gt;AR43+6+$B$18,1,0))</f>
        <v>1</v>
      </c>
      <c r="AS55" s="352" t="n">
        <f aca="false">IF(41&lt;5,0,IF(MAX(AN38:AS38)&gt;AS43+6+$B$18,1,0))</f>
        <v>1</v>
      </c>
      <c r="AT55" s="352" t="n">
        <f aca="false">IF(42&lt;5,0,IF(MAX(AO38:AT38)&gt;AT43+6+$B$18,1,0))</f>
        <v>1</v>
      </c>
      <c r="AU55" s="352" t="n">
        <f aca="false">IF(43&lt;5,0,IF(MAX(AP38:AU38)&gt;AU43+6+$B$18,1,0))</f>
        <v>1</v>
      </c>
      <c r="AV55" s="352" t="n">
        <f aca="false">IF(44&lt;5,0,IF(MAX(AQ38:AV38)&gt;AV43+6+$B$18,1,0))</f>
        <v>1</v>
      </c>
      <c r="AW55" s="352" t="n">
        <f aca="false">IF(45&lt;5,0,IF(MAX(AR38:AW38)&gt;AW43+6+$B$18,1,0))</f>
        <v>1</v>
      </c>
      <c r="AX55" s="352" t="n">
        <f aca="false">IF(46&lt;5,0,IF(MAX(AS38:AX38)&gt;AX43+6+$B$18,1,0))</f>
        <v>1</v>
      </c>
      <c r="AY55" s="352" t="n">
        <f aca="false">IF(47&lt;5,0,IF(MAX(AT38:AY38)&gt;AY43+6+$B$18,1,0))</f>
        <v>1</v>
      </c>
      <c r="AZ55" s="352" t="n">
        <f aca="false">IF(48&lt;5,0,IF(MAX(AU38:AZ38)&gt;AZ43+6+$B$18,1,0))</f>
        <v>1</v>
      </c>
      <c r="BA55" s="352" t="n">
        <f aca="false">IF(49&lt;5,0,IF(MAX(AV38:BA38)&gt;BA43+6+$B$18,1,0))</f>
        <v>1</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1189</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1190</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1191</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1192</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1</v>
      </c>
      <c r="AE61" s="352" t="n">
        <f aca="false">IF(27&lt;5,0,IF(MAX(Z39:AE39)&gt;AE44+0+$B$18,1,0))</f>
        <v>1</v>
      </c>
      <c r="AF61" s="352" t="n">
        <f aca="false">IF(28&lt;5,0,IF(MAX(AA39:AF39)&gt;AF44+0+$B$18,1,0))</f>
        <v>1</v>
      </c>
      <c r="AG61" s="352" t="n">
        <f aca="false">IF(29&lt;5,0,IF(MAX(AB39:AG39)&gt;AG44+0+$B$18,1,0))</f>
        <v>1</v>
      </c>
      <c r="AH61" s="352" t="n">
        <f aca="false">IF(30&lt;5,0,IF(MAX(AC39:AH39)&gt;AH44+0+$B$18,1,0))</f>
        <v>1</v>
      </c>
      <c r="AI61" s="352" t="n">
        <f aca="false">IF(31&lt;5,0,IF(MAX(AD39:AI39)&gt;AI44+0+$B$18,1,0))</f>
        <v>1</v>
      </c>
      <c r="AJ61" s="352" t="n">
        <f aca="false">IF(32&lt;5,0,IF(MAX(AE39:AJ39)&gt;AJ44+0+$B$18,1,0))</f>
        <v>1</v>
      </c>
      <c r="AK61" s="352" t="n">
        <f aca="false">IF(33&lt;5,0,IF(MAX(AF39:AK39)&gt;AK44+0+$B$18,1,0))</f>
        <v>1</v>
      </c>
      <c r="AL61" s="352" t="n">
        <f aca="false">IF(34&lt;5,0,IF(MAX(AG39:AL39)&gt;AL44+0+$B$18,1,0))</f>
        <v>1</v>
      </c>
      <c r="AM61" s="352" t="n">
        <f aca="false">IF(35&lt;5,0,IF(MAX(AH39:AM39)&gt;AM44+0+$B$18,1,0))</f>
        <v>1</v>
      </c>
      <c r="AN61" s="352" t="n">
        <f aca="false">IF(36&lt;5,0,IF(MAX(AI39:AN39)&gt;AN44+0+$B$18,1,0))</f>
        <v>1</v>
      </c>
      <c r="AO61" s="352" t="n">
        <f aca="false">IF(37&lt;5,0,IF(MAX(AJ39:AO39)&gt;AO44+0+$B$18,1,0))</f>
        <v>1</v>
      </c>
      <c r="AP61" s="352" t="n">
        <f aca="false">IF(38&lt;5,0,IF(MAX(AK39:AP39)&gt;AP44+0+$B$18,1,0))</f>
        <v>1</v>
      </c>
      <c r="AQ61" s="352" t="n">
        <f aca="false">IF(39&lt;5,0,IF(MAX(AL39:AQ39)&gt;AQ44+0+$B$18,1,0))</f>
        <v>1</v>
      </c>
      <c r="AR61" s="352" t="n">
        <f aca="false">IF(40&lt;5,0,IF(MAX(AM39:AR39)&gt;AR44+0+$B$18,1,0))</f>
        <v>1</v>
      </c>
      <c r="AS61" s="352" t="n">
        <f aca="false">IF(41&lt;5,0,IF(MAX(AN39:AS39)&gt;AS44+0+$B$18,1,0))</f>
        <v>1</v>
      </c>
      <c r="AT61" s="352" t="n">
        <f aca="false">IF(42&lt;5,0,IF(MAX(AO39:AT39)&gt;AT44+0+$B$18,1,0))</f>
        <v>1</v>
      </c>
      <c r="AU61" s="352" t="n">
        <f aca="false">IF(43&lt;5,0,IF(MAX(AP39:AU39)&gt;AU44+0+$B$18,1,0))</f>
        <v>1</v>
      </c>
      <c r="AV61" s="352" t="n">
        <f aca="false">IF(44&lt;5,0,IF(MAX(AQ39:AV39)&gt;AV44+0+$B$18,1,0))</f>
        <v>1</v>
      </c>
      <c r="AW61" s="352" t="n">
        <f aca="false">IF(45&lt;5,0,IF(MAX(AR39:AW39)&gt;AW44+0+$B$18,1,0))</f>
        <v>1</v>
      </c>
      <c r="AX61" s="352" t="n">
        <f aca="false">IF(46&lt;5,0,IF(MAX(AS39:AX39)&gt;AX44+0+$B$18,1,0))</f>
        <v>1</v>
      </c>
      <c r="AY61" s="352" t="n">
        <f aca="false">IF(47&lt;5,0,IF(MAX(AT39:AY39)&gt;AY44+0+$B$18,1,0))</f>
        <v>1</v>
      </c>
      <c r="AZ61" s="352" t="n">
        <f aca="false">IF(48&lt;5,0,IF(MAX(AU39:AZ39)&gt;AZ44+0+$B$18,1,0))</f>
        <v>1</v>
      </c>
      <c r="BA61" s="352" t="n">
        <f aca="false">IF(49&lt;5,0,IF(MAX(AV39:BA39)&gt;BA44+0+$B$18,1,0))</f>
        <v>1</v>
      </c>
      <c r="BB61" s="352" t="n">
        <f aca="false">IF(50&lt;5,0,IF(MAX(AW39:BB39)&gt;BB44+0+$B$18,1,0))</f>
        <v>1</v>
      </c>
      <c r="BC61" s="352" t="n">
        <f aca="false">IF(51&lt;5,0,IF(MAX(AX39:BC39)&gt;BC44+0+$B$18,1,0))</f>
        <v>1</v>
      </c>
      <c r="BD61" s="352" t="n">
        <f aca="false">IF(52&lt;5,0,IF(MAX(AY39:BD39)&gt;BD44+0+$B$18,1,0))</f>
        <v>1</v>
      </c>
      <c r="BE61" s="352" t="n">
        <f aca="false">IF(53&lt;5,0,IF(MAX(AZ39:BE39)&gt;BE44+0+$B$18,1,0))</f>
        <v>1</v>
      </c>
      <c r="BF61" s="352" t="n">
        <f aca="false">IF(54&lt;5,0,IF(MAX(BA39:BF39)&gt;BF44+0+$B$18,1,0))</f>
        <v>1</v>
      </c>
      <c r="BG61" s="352" t="n">
        <f aca="false">IF(55&lt;5,0,IF(MAX(BB39:BG39)&gt;BG44+0+$B$18,1,0))</f>
        <v>1</v>
      </c>
      <c r="BH61" s="352" t="n">
        <f aca="false">IF(56&lt;5,0,IF(MAX(BC39:BH39)&gt;BH44+0+$B$18,1,0))</f>
        <v>1</v>
      </c>
      <c r="BI61" s="352" t="n">
        <f aca="false">IF(57&lt;5,0,IF(MAX(BD39:BI39)&gt;BI44+0+$B$18,1,0))</f>
        <v>1</v>
      </c>
      <c r="BJ61" s="352" t="n">
        <f aca="false">IF(58&lt;5,0,IF(MAX(BE39:BJ39)&gt;BJ44+0+$B$18,1,0))</f>
        <v>1</v>
      </c>
      <c r="BK61" s="352" t="n">
        <f aca="false">IF(59&lt;5,0,IF(MAX(BF39:BK39)&gt;BK44+0+$B$18,1,0))</f>
        <v>1</v>
      </c>
      <c r="BL61" s="352" t="n">
        <f aca="false">IF(60&lt;5,0,IF(MAX(BG39:BL39)&gt;BL44+0+$B$18,1,0))</f>
        <v>1</v>
      </c>
      <c r="BM61" s="352" t="n">
        <f aca="false">IF(61&lt;5,0,IF(MAX(BH39:BM39)&gt;BM44+0+$B$18,1,0))</f>
        <v>1</v>
      </c>
      <c r="BN61" s="352" t="n">
        <f aca="false">IF(62&lt;5,0,IF(MAX(BI39:BN39)&gt;BN44+0+$B$18,1,0))</f>
        <v>1</v>
      </c>
      <c r="BO61" s="352" t="n">
        <f aca="false">IF(63&lt;5,0,IF(MAX(BJ39:BO39)&gt;BO44+0+$B$18,1,0))</f>
        <v>1</v>
      </c>
      <c r="BP61" s="352" t="n">
        <f aca="false">IF(64&lt;5,0,IF(MAX(BK39:BP39)&gt;BP44+0+$B$18,1,0))</f>
        <v>1</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1193</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1</v>
      </c>
      <c r="T62" s="352" t="n">
        <f aca="false">IF(16&lt;5,0,IF(MAX(O39:T39)&gt;T44+1+$B$18,1,0))</f>
        <v>1</v>
      </c>
      <c r="U62" s="352" t="n">
        <f aca="false">IF(17&lt;5,0,IF(MAX(P39:U39)&gt;U44+1+$B$18,1,0))</f>
        <v>1</v>
      </c>
      <c r="V62" s="352" t="n">
        <f aca="false">IF(18&lt;5,0,IF(MAX(Q39:V39)&gt;V44+1+$B$18,1,0))</f>
        <v>1</v>
      </c>
      <c r="W62" s="352" t="n">
        <f aca="false">IF(19&lt;5,0,IF(MAX(R39:W39)&gt;W44+1+$B$18,1,0))</f>
        <v>1</v>
      </c>
      <c r="X62" s="352" t="n">
        <f aca="false">IF(20&lt;5,0,IF(MAX(S39:X39)&gt;X44+1+$B$18,1,0))</f>
        <v>1</v>
      </c>
      <c r="Y62" s="352" t="n">
        <f aca="false">IF(21&lt;5,0,IF(MAX(T39:Y39)&gt;Y44+1+$B$18,1,0))</f>
        <v>1</v>
      </c>
      <c r="Z62" s="352" t="n">
        <f aca="false">IF(22&lt;5,0,IF(MAX(U39:Z39)&gt;Z44+1+$B$18,1,0))</f>
        <v>1</v>
      </c>
      <c r="AA62" s="352" t="n">
        <f aca="false">IF(23&lt;5,0,IF(MAX(V39:AA39)&gt;AA44+1+$B$18,1,0))</f>
        <v>1</v>
      </c>
      <c r="AB62" s="352" t="n">
        <f aca="false">IF(24&lt;5,0,IF(MAX(W39:AB39)&gt;AB44+1+$B$18,1,0))</f>
        <v>1</v>
      </c>
      <c r="AC62" s="352" t="n">
        <f aca="false">IF(25&lt;5,0,IF(MAX(X39:AC39)&gt;AC44+1+$B$18,1,0))</f>
        <v>1</v>
      </c>
      <c r="AD62" s="352" t="n">
        <f aca="false">IF(26&lt;5,0,IF(MAX(Y39:AD39)&gt;AD44+1+$B$18,1,0))</f>
        <v>1</v>
      </c>
      <c r="AE62" s="352" t="n">
        <f aca="false">IF(27&lt;5,0,IF(MAX(Z39:AE39)&gt;AE44+1+$B$18,1,0))</f>
        <v>1</v>
      </c>
      <c r="AF62" s="352" t="n">
        <f aca="false">IF(28&lt;5,0,IF(MAX(AA39:AF39)&gt;AF44+1+$B$18,1,0))</f>
        <v>1</v>
      </c>
      <c r="AG62" s="352" t="n">
        <f aca="false">IF(29&lt;5,0,IF(MAX(AB39:AG39)&gt;AG44+1+$B$18,1,0))</f>
        <v>1</v>
      </c>
      <c r="AH62" s="352" t="n">
        <f aca="false">IF(30&lt;5,0,IF(MAX(AC39:AH39)&gt;AH44+1+$B$18,1,0))</f>
        <v>1</v>
      </c>
      <c r="AI62" s="352" t="n">
        <f aca="false">IF(31&lt;5,0,IF(MAX(AD39:AI39)&gt;AI44+1+$B$18,1,0))</f>
        <v>1</v>
      </c>
      <c r="AJ62" s="352" t="n">
        <f aca="false">IF(32&lt;5,0,IF(MAX(AE39:AJ39)&gt;AJ44+1+$B$18,1,0))</f>
        <v>1</v>
      </c>
      <c r="AK62" s="352" t="n">
        <f aca="false">IF(33&lt;5,0,IF(MAX(AF39:AK39)&gt;AK44+1+$B$18,1,0))</f>
        <v>1</v>
      </c>
      <c r="AL62" s="352" t="n">
        <f aca="false">IF(34&lt;5,0,IF(MAX(AG39:AL39)&gt;AL44+1+$B$18,1,0))</f>
        <v>1</v>
      </c>
      <c r="AM62" s="352" t="n">
        <f aca="false">IF(35&lt;5,0,IF(MAX(AH39:AM39)&gt;AM44+1+$B$18,1,0))</f>
        <v>1</v>
      </c>
      <c r="AN62" s="352" t="n">
        <f aca="false">IF(36&lt;5,0,IF(MAX(AI39:AN39)&gt;AN44+1+$B$18,1,0))</f>
        <v>1</v>
      </c>
      <c r="AO62" s="352" t="n">
        <f aca="false">IF(37&lt;5,0,IF(MAX(AJ39:AO39)&gt;AO44+1+$B$18,1,0))</f>
        <v>1</v>
      </c>
      <c r="AP62" s="352" t="n">
        <f aca="false">IF(38&lt;5,0,IF(MAX(AK39:AP39)&gt;AP44+1+$B$18,1,0))</f>
        <v>1</v>
      </c>
      <c r="AQ62" s="352" t="n">
        <f aca="false">IF(39&lt;5,0,IF(MAX(AL39:AQ39)&gt;AQ44+1+$B$18,1,0))</f>
        <v>1</v>
      </c>
      <c r="AR62" s="352" t="n">
        <f aca="false">IF(40&lt;5,0,IF(MAX(AM39:AR39)&gt;AR44+1+$B$18,1,0))</f>
        <v>1</v>
      </c>
      <c r="AS62" s="352" t="n">
        <f aca="false">IF(41&lt;5,0,IF(MAX(AN39:AS39)&gt;AS44+1+$B$18,1,0))</f>
        <v>1</v>
      </c>
      <c r="AT62" s="352" t="n">
        <f aca="false">IF(42&lt;5,0,IF(MAX(AO39:AT39)&gt;AT44+1+$B$18,1,0))</f>
        <v>1</v>
      </c>
      <c r="AU62" s="352" t="n">
        <f aca="false">IF(43&lt;5,0,IF(MAX(AP39:AU39)&gt;AU44+1+$B$18,1,0))</f>
        <v>1</v>
      </c>
      <c r="AV62" s="352" t="n">
        <f aca="false">IF(44&lt;5,0,IF(MAX(AQ39:AV39)&gt;AV44+1+$B$18,1,0))</f>
        <v>1</v>
      </c>
      <c r="AW62" s="352" t="n">
        <f aca="false">IF(45&lt;5,0,IF(MAX(AR39:AW39)&gt;AW44+1+$B$18,1,0))</f>
        <v>1</v>
      </c>
      <c r="AX62" s="352" t="n">
        <f aca="false">IF(46&lt;5,0,IF(MAX(AS39:AX39)&gt;AX44+1+$B$18,1,0))</f>
        <v>1</v>
      </c>
      <c r="AY62" s="352" t="n">
        <f aca="false">IF(47&lt;5,0,IF(MAX(AT39:AY39)&gt;AY44+1+$B$18,1,0))</f>
        <v>1</v>
      </c>
      <c r="AZ62" s="352" t="n">
        <f aca="false">IF(48&lt;5,0,IF(MAX(AU39:AZ39)&gt;AZ44+1+$B$18,1,0))</f>
        <v>1</v>
      </c>
      <c r="BA62" s="352" t="n">
        <f aca="false">IF(49&lt;5,0,IF(MAX(AV39:BA39)&gt;BA44+1+$B$18,1,0))</f>
        <v>1</v>
      </c>
      <c r="BB62" s="352" t="n">
        <f aca="false">IF(50&lt;5,0,IF(MAX(AW39:BB39)&gt;BB44+1+$B$18,1,0))</f>
        <v>1</v>
      </c>
      <c r="BC62" s="352" t="n">
        <f aca="false">IF(51&lt;5,0,IF(MAX(AX39:BC39)&gt;BC44+1+$B$18,1,0))</f>
        <v>1</v>
      </c>
      <c r="BD62" s="352" t="n">
        <f aca="false">IF(52&lt;5,0,IF(MAX(AY39:BD39)&gt;BD44+1+$B$18,1,0))</f>
        <v>1</v>
      </c>
      <c r="BE62" s="352" t="n">
        <f aca="false">IF(53&lt;5,0,IF(MAX(AZ39:BE39)&gt;BE44+1+$B$18,1,0))</f>
        <v>1</v>
      </c>
      <c r="BF62" s="352" t="n">
        <f aca="false">IF(54&lt;5,0,IF(MAX(BA39:BF39)&gt;BF44+1+$B$18,1,0))</f>
        <v>1</v>
      </c>
      <c r="BG62" s="352" t="n">
        <f aca="false">IF(55&lt;5,0,IF(MAX(BB39:BG39)&gt;BG44+1+$B$18,1,0))</f>
        <v>1</v>
      </c>
      <c r="BH62" s="352" t="n">
        <f aca="false">IF(56&lt;5,0,IF(MAX(BC39:BH39)&gt;BH44+1+$B$18,1,0))</f>
        <v>1</v>
      </c>
      <c r="BI62" s="352" t="n">
        <f aca="false">IF(57&lt;5,0,IF(MAX(BD39:BI39)&gt;BI44+1+$B$18,1,0))</f>
        <v>1</v>
      </c>
      <c r="BJ62" s="352" t="n">
        <f aca="false">IF(58&lt;5,0,IF(MAX(BE39:BJ39)&gt;BJ44+1+$B$18,1,0))</f>
        <v>1</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1194</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1</v>
      </c>
      <c r="AP63" s="352" t="n">
        <f aca="false">IF(38&lt;5,0,IF(MAX(AK39:AP39)&gt;AP44+2+$B$18,1,0))</f>
        <v>1</v>
      </c>
      <c r="AQ63" s="352" t="n">
        <f aca="false">IF(39&lt;5,0,IF(MAX(AL39:AQ39)&gt;AQ44+2+$B$18,1,0))</f>
        <v>1</v>
      </c>
      <c r="AR63" s="352" t="n">
        <f aca="false">IF(40&lt;5,0,IF(MAX(AM39:AR39)&gt;AR44+2+$B$18,1,0))</f>
        <v>1</v>
      </c>
      <c r="AS63" s="352" t="n">
        <f aca="false">IF(41&lt;5,0,IF(MAX(AN39:AS39)&gt;AS44+2+$B$18,1,0))</f>
        <v>1</v>
      </c>
      <c r="AT63" s="352" t="n">
        <f aca="false">IF(42&lt;5,0,IF(MAX(AO39:AT39)&gt;AT44+2+$B$18,1,0))</f>
        <v>1</v>
      </c>
      <c r="AU63" s="352" t="n">
        <f aca="false">IF(43&lt;5,0,IF(MAX(AP39:AU39)&gt;AU44+2+$B$18,1,0))</f>
        <v>1</v>
      </c>
      <c r="AV63" s="352" t="n">
        <f aca="false">IF(44&lt;5,0,IF(MAX(AQ39:AV39)&gt;AV44+2+$B$18,1,0))</f>
        <v>1</v>
      </c>
      <c r="AW63" s="352" t="n">
        <f aca="false">IF(45&lt;5,0,IF(MAX(AR39:AW39)&gt;AW44+2+$B$18,1,0))</f>
        <v>1</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1195</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1196</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1197</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1198</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1199</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1200</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1</v>
      </c>
      <c r="AA71" s="352" t="n">
        <f aca="false">IF(23&lt;5,0,IF(MAX(V40:AA40)&gt;AA45+0+$B$18,1,0))</f>
        <v>1</v>
      </c>
      <c r="AB71" s="352" t="n">
        <f aca="false">IF(24&lt;5,0,IF(MAX(W40:AB40)&gt;AB45+0+$B$18,1,0))</f>
        <v>1</v>
      </c>
      <c r="AC71" s="352" t="n">
        <f aca="false">IF(25&lt;5,0,IF(MAX(X40:AC40)&gt;AC45+0+$B$18,1,0))</f>
        <v>1</v>
      </c>
      <c r="AD71" s="352" t="n">
        <f aca="false">IF(26&lt;5,0,IF(MAX(Y40:AD40)&gt;AD45+0+$B$18,1,0))</f>
        <v>1</v>
      </c>
      <c r="AE71" s="352" t="n">
        <f aca="false">IF(27&lt;5,0,IF(MAX(Z40:AE40)&gt;AE45+0+$B$18,1,0))</f>
        <v>1</v>
      </c>
      <c r="AF71" s="352" t="n">
        <f aca="false">IF(28&lt;5,0,IF(MAX(AA40:AF40)&gt;AF45+0+$B$18,1,0))</f>
        <v>1</v>
      </c>
      <c r="AG71" s="352" t="n">
        <f aca="false">IF(29&lt;5,0,IF(MAX(AB40:AG40)&gt;AG45+0+$B$18,1,0))</f>
        <v>1</v>
      </c>
      <c r="AH71" s="352" t="n">
        <f aca="false">IF(30&lt;5,0,IF(MAX(AC40:AH40)&gt;AH45+0+$B$18,1,0))</f>
        <v>1</v>
      </c>
      <c r="AI71" s="352" t="n">
        <f aca="false">IF(31&lt;5,0,IF(MAX(AD40:AI40)&gt;AI45+0+$B$18,1,0))</f>
        <v>1</v>
      </c>
      <c r="AJ71" s="352" t="n">
        <f aca="false">IF(32&lt;5,0,IF(MAX(AE40:AJ40)&gt;AJ45+0+$B$18,1,0))</f>
        <v>1</v>
      </c>
      <c r="AK71" s="352" t="n">
        <f aca="false">IF(33&lt;5,0,IF(MAX(AF40:AK40)&gt;AK45+0+$B$18,1,0))</f>
        <v>1</v>
      </c>
      <c r="AL71" s="352" t="n">
        <f aca="false">IF(34&lt;5,0,IF(MAX(AG40:AL40)&gt;AL45+0+$B$18,1,0))</f>
        <v>1</v>
      </c>
      <c r="AM71" s="352" t="n">
        <f aca="false">IF(35&lt;5,0,IF(MAX(AH40:AM40)&gt;AM45+0+$B$18,1,0))</f>
        <v>1</v>
      </c>
      <c r="AN71" s="352" t="n">
        <f aca="false">IF(36&lt;5,0,IF(MAX(AI40:AN40)&gt;AN45+0+$B$18,1,0))</f>
        <v>1</v>
      </c>
      <c r="AO71" s="352" t="n">
        <f aca="false">IF(37&lt;5,0,IF(MAX(AJ40:AO40)&gt;AO45+0+$B$18,1,0))</f>
        <v>1</v>
      </c>
      <c r="AP71" s="352" t="n">
        <f aca="false">IF(38&lt;5,0,IF(MAX(AK40:AP40)&gt;AP45+0+$B$18,1,0))</f>
        <v>1</v>
      </c>
      <c r="AQ71" s="352" t="n">
        <f aca="false">IF(39&lt;5,0,IF(MAX(AL40:AQ40)&gt;AQ45+0+$B$18,1,0))</f>
        <v>1</v>
      </c>
      <c r="AR71" s="352" t="n">
        <f aca="false">IF(40&lt;5,0,IF(MAX(AM40:AR40)&gt;AR45+0+$B$18,1,0))</f>
        <v>1</v>
      </c>
      <c r="AS71" s="352" t="n">
        <f aca="false">IF(41&lt;5,0,IF(MAX(AN40:AS40)&gt;AS45+0+$B$18,1,0))</f>
        <v>1</v>
      </c>
      <c r="AT71" s="352" t="n">
        <f aca="false">IF(42&lt;5,0,IF(MAX(AO40:AT40)&gt;AT45+0+$B$18,1,0))</f>
        <v>1</v>
      </c>
      <c r="AU71" s="352" t="n">
        <f aca="false">IF(43&lt;5,0,IF(MAX(AP40:AU40)&gt;AU45+0+$B$18,1,0))</f>
        <v>1</v>
      </c>
      <c r="AV71" s="352" t="n">
        <f aca="false">IF(44&lt;5,0,IF(MAX(AQ40:AV40)&gt;AV45+0+$B$18,1,0))</f>
        <v>1</v>
      </c>
      <c r="AW71" s="352" t="n">
        <f aca="false">IF(45&lt;5,0,IF(MAX(AR40:AW40)&gt;AW45+0+$B$18,1,0))</f>
        <v>1</v>
      </c>
      <c r="AX71" s="352" t="n">
        <f aca="false">IF(46&lt;5,0,IF(MAX(AS40:AX40)&gt;AX45+0+$B$18,1,0))</f>
        <v>1</v>
      </c>
      <c r="AY71" s="352" t="n">
        <f aca="false">IF(47&lt;5,0,IF(MAX(AT40:AY40)&gt;AY45+0+$B$18,1,0))</f>
        <v>1</v>
      </c>
      <c r="AZ71" s="352" t="n">
        <f aca="false">IF(48&lt;5,0,IF(MAX(AU40:AZ40)&gt;AZ45+0+$B$18,1,0))</f>
        <v>1</v>
      </c>
      <c r="BA71" s="352" t="n">
        <f aca="false">IF(49&lt;5,0,IF(MAX(AV40:BA40)&gt;BA45+0+$B$18,1,0))</f>
        <v>1</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1201</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1202</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1203</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1204</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1</v>
      </c>
      <c r="AB77" s="352" t="n">
        <f aca="false">IF(24&lt;5,0,IF(MAX(W37:AB37)&gt;=$B$22,1,0))</f>
        <v>1</v>
      </c>
      <c r="AC77" s="352" t="n">
        <f aca="false">IF(25&lt;5,0,IF(MAX(X37:AC37)&gt;=$B$22,1,0))</f>
        <v>1</v>
      </c>
      <c r="AD77" s="352" t="n">
        <f aca="false">IF(26&lt;5,0,IF(MAX(Y37:AD37)&gt;=$B$22,1,0))</f>
        <v>1</v>
      </c>
      <c r="AE77" s="352" t="n">
        <f aca="false">IF(27&lt;5,0,IF(MAX(Z37:AE37)&gt;=$B$22,1,0))</f>
        <v>1</v>
      </c>
      <c r="AF77" s="352" t="n">
        <f aca="false">IF(28&lt;5,0,IF(MAX(AA37:AF37)&gt;=$B$22,1,0))</f>
        <v>1</v>
      </c>
      <c r="AG77" s="352" t="n">
        <f aca="false">IF(29&lt;5,0,IF(MAX(AB37:AG37)&gt;=$B$22,1,0))</f>
        <v>1</v>
      </c>
      <c r="AH77" s="352" t="n">
        <f aca="false">IF(30&lt;5,0,IF(MAX(AC37:AH37)&gt;=$B$22,1,0))</f>
        <v>1</v>
      </c>
      <c r="AI77" s="352" t="n">
        <f aca="false">IF(31&lt;5,0,IF(MAX(AD37:AI37)&gt;=$B$22,1,0))</f>
        <v>1</v>
      </c>
      <c r="AJ77" s="352" t="n">
        <f aca="false">IF(32&lt;5,0,IF(MAX(AE37:AJ37)&gt;=$B$22,1,0))</f>
        <v>1</v>
      </c>
      <c r="AK77" s="352" t="n">
        <f aca="false">IF(33&lt;5,0,IF(MAX(AF37:AK37)&gt;=$B$22,1,0))</f>
        <v>1</v>
      </c>
      <c r="AL77" s="352" t="n">
        <f aca="false">IF(34&lt;5,0,IF(MAX(AG37:AL37)&gt;=$B$22,1,0))</f>
        <v>1</v>
      </c>
      <c r="AM77" s="352" t="n">
        <f aca="false">IF(35&lt;5,0,IF(MAX(AH37:AM37)&gt;=$B$22,1,0))</f>
        <v>1</v>
      </c>
      <c r="AN77" s="352" t="n">
        <f aca="false">IF(36&lt;5,0,IF(MAX(AI37:AN37)&gt;=$B$22,1,0))</f>
        <v>1</v>
      </c>
      <c r="AO77" s="352" t="n">
        <f aca="false">IF(37&lt;5,0,IF(MAX(AJ37:AO37)&gt;=$B$22,1,0))</f>
        <v>1</v>
      </c>
      <c r="AP77" s="352" t="n">
        <f aca="false">IF(38&lt;5,0,IF(MAX(AK37:AP37)&gt;=$B$22,1,0))</f>
        <v>1</v>
      </c>
      <c r="AQ77" s="352" t="n">
        <f aca="false">IF(39&lt;5,0,IF(MAX(AL37:AQ37)&gt;=$B$22,1,0))</f>
        <v>1</v>
      </c>
      <c r="AR77" s="352" t="n">
        <f aca="false">IF(40&lt;5,0,IF(MAX(AM37:AR37)&gt;=$B$22,1,0))</f>
        <v>1</v>
      </c>
      <c r="AS77" s="352" t="n">
        <f aca="false">IF(41&lt;5,0,IF(MAX(AN37:AS37)&gt;=$B$22,1,0))</f>
        <v>1</v>
      </c>
      <c r="AT77" s="352" t="n">
        <f aca="false">IF(42&lt;5,0,IF(MAX(AO37:AT37)&gt;=$B$22,1,0))</f>
        <v>1</v>
      </c>
      <c r="AU77" s="352" t="n">
        <f aca="false">IF(43&lt;5,0,IF(MAX(AP37:AU37)&gt;=$B$22,1,0))</f>
        <v>1</v>
      </c>
      <c r="AV77" s="352" t="n">
        <f aca="false">IF(44&lt;5,0,IF(MAX(AQ37:AV37)&gt;=$B$22,1,0))</f>
        <v>1</v>
      </c>
      <c r="AW77" s="352" t="n">
        <f aca="false">IF(45&lt;5,0,IF(MAX(AR37:AW37)&gt;=$B$22,1,0))</f>
        <v>1</v>
      </c>
      <c r="AX77" s="352" t="n">
        <f aca="false">IF(46&lt;5,0,IF(MAX(AS37:AX37)&gt;=$B$22,1,0))</f>
        <v>1</v>
      </c>
      <c r="AY77" s="352" t="n">
        <f aca="false">IF(47&lt;5,0,IF(MAX(AT37:AY37)&gt;=$B$22,1,0))</f>
        <v>1</v>
      </c>
      <c r="AZ77" s="352" t="n">
        <f aca="false">IF(48&lt;5,0,IF(MAX(AU37:AZ37)&gt;=$B$22,1,0))</f>
        <v>1</v>
      </c>
      <c r="BA77" s="352" t="n">
        <f aca="false">IF(49&lt;5,0,IF(MAX(AV37:BA37)&gt;=$B$22,1,0))</f>
        <v>1</v>
      </c>
      <c r="BB77" s="352" t="n">
        <f aca="false">IF(50&lt;5,0,IF(MAX(AW37:BB37)&gt;=$B$22,1,0))</f>
        <v>1</v>
      </c>
      <c r="BC77" s="352" t="n">
        <f aca="false">IF(51&lt;5,0,IF(MAX(AX37:BC37)&gt;=$B$22,1,0))</f>
        <v>1</v>
      </c>
      <c r="BD77" s="352" t="n">
        <f aca="false">IF(52&lt;5,0,IF(MAX(AY37:BD37)&gt;=$B$22,1,0))</f>
        <v>1</v>
      </c>
      <c r="BE77" s="352" t="n">
        <f aca="false">IF(53&lt;5,0,IF(MAX(AZ37:BE37)&gt;=$B$22,1,0))</f>
        <v>1</v>
      </c>
      <c r="BF77" s="352" t="n">
        <f aca="false">IF(54&lt;5,0,IF(MAX(BA37:BF37)&gt;=$B$22,1,0))</f>
        <v>1</v>
      </c>
      <c r="BG77" s="352" t="n">
        <f aca="false">IF(55&lt;5,0,IF(MAX(BB37:BG37)&gt;=$B$22,1,0))</f>
        <v>1</v>
      </c>
      <c r="BH77" s="352" t="n">
        <f aca="false">IF(56&lt;5,0,IF(MAX(BC37:BH37)&gt;=$B$22,1,0))</f>
        <v>1</v>
      </c>
      <c r="BI77" s="352" t="n">
        <f aca="false">IF(57&lt;5,0,IF(MAX(BD37:BI37)&gt;=$B$22,1,0))</f>
        <v>1</v>
      </c>
      <c r="BJ77" s="352" t="n">
        <f aca="false">IF(58&lt;5,0,IF(MAX(BE37:BJ37)&gt;=$B$22,1,0))</f>
        <v>1</v>
      </c>
      <c r="BK77" s="352" t="n">
        <f aca="false">IF(59&lt;5,0,IF(MAX(BF37:BK37)&gt;=$B$22,1,0))</f>
        <v>1</v>
      </c>
      <c r="BL77" s="352" t="n">
        <f aca="false">IF(60&lt;5,0,IF(MAX(BG37:BL37)&gt;=$B$22,1,0))</f>
        <v>1</v>
      </c>
      <c r="BM77" s="352" t="n">
        <f aca="false">IF(61&lt;5,0,IF(MAX(BH37:BM37)&gt;=$B$22,1,0))</f>
        <v>1</v>
      </c>
      <c r="BN77" s="352" t="n">
        <f aca="false">IF(62&lt;5,0,IF(MAX(BI37:BN37)&gt;=$B$22,1,0))</f>
        <v>1</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1205</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1</v>
      </c>
      <c r="S78" s="352" t="n">
        <f aca="false">IF(15&lt;5,0,IF(MAX(N37:S37)&gt;=$B$23,1,0))</f>
        <v>1</v>
      </c>
      <c r="T78" s="352" t="n">
        <f aca="false">IF(16&lt;5,0,IF(MAX(O37:T37)&gt;=$B$23,1,0))</f>
        <v>1</v>
      </c>
      <c r="U78" s="352" t="n">
        <f aca="false">IF(17&lt;5,0,IF(MAX(P37:U37)&gt;=$B$23,1,0))</f>
        <v>1</v>
      </c>
      <c r="V78" s="352" t="n">
        <f aca="false">IF(18&lt;5,0,IF(MAX(Q37:V37)&gt;=$B$23,1,0))</f>
        <v>1</v>
      </c>
      <c r="W78" s="352" t="n">
        <f aca="false">IF(19&lt;5,0,IF(MAX(R37:W37)&gt;=$B$23,1,0))</f>
        <v>1</v>
      </c>
      <c r="X78" s="352" t="n">
        <f aca="false">IF(20&lt;5,0,IF(MAX(S37:X37)&gt;=$B$23,1,0))</f>
        <v>1</v>
      </c>
      <c r="Y78" s="352" t="n">
        <f aca="false">IF(21&lt;5,0,IF(MAX(T37:Y37)&gt;=$B$23,1,0))</f>
        <v>1</v>
      </c>
      <c r="Z78" s="352" t="n">
        <f aca="false">IF(22&lt;5,0,IF(MAX(U37:Z37)&gt;=$B$23,1,0))</f>
        <v>1</v>
      </c>
      <c r="AA78" s="352" t="n">
        <f aca="false">IF(23&lt;5,0,IF(MAX(V37:AA37)&gt;=$B$23,1,0))</f>
        <v>1</v>
      </c>
      <c r="AB78" s="352" t="n">
        <f aca="false">IF(24&lt;5,0,IF(MAX(W37:AB37)&gt;=$B$23,1,0))</f>
        <v>1</v>
      </c>
      <c r="AC78" s="352" t="n">
        <f aca="false">IF(25&lt;5,0,IF(MAX(X37:AC37)&gt;=$B$23,1,0))</f>
        <v>1</v>
      </c>
      <c r="AD78" s="352" t="n">
        <f aca="false">IF(26&lt;5,0,IF(MAX(Y37:AD37)&gt;=$B$23,1,0))</f>
        <v>1</v>
      </c>
      <c r="AE78" s="352" t="n">
        <f aca="false">IF(27&lt;5,0,IF(MAX(Z37:AE37)&gt;=$B$23,1,0))</f>
        <v>1</v>
      </c>
      <c r="AF78" s="352" t="n">
        <f aca="false">IF(28&lt;5,0,IF(MAX(AA37:AF37)&gt;=$B$23,1,0))</f>
        <v>1</v>
      </c>
      <c r="AG78" s="352" t="n">
        <f aca="false">IF(29&lt;5,0,IF(MAX(AB37:AG37)&gt;=$B$23,1,0))</f>
        <v>1</v>
      </c>
      <c r="AH78" s="352" t="n">
        <f aca="false">IF(30&lt;5,0,IF(MAX(AC37:AH37)&gt;=$B$23,1,0))</f>
        <v>1</v>
      </c>
      <c r="AI78" s="352" t="n">
        <f aca="false">IF(31&lt;5,0,IF(MAX(AD37:AI37)&gt;=$B$23,1,0))</f>
        <v>1</v>
      </c>
      <c r="AJ78" s="352" t="n">
        <f aca="false">IF(32&lt;5,0,IF(MAX(AE37:AJ37)&gt;=$B$23,1,0))</f>
        <v>1</v>
      </c>
      <c r="AK78" s="352" t="n">
        <f aca="false">IF(33&lt;5,0,IF(MAX(AF37:AK37)&gt;=$B$23,1,0))</f>
        <v>1</v>
      </c>
      <c r="AL78" s="352" t="n">
        <f aca="false">IF(34&lt;5,0,IF(MAX(AG37:AL37)&gt;=$B$23,1,0))</f>
        <v>1</v>
      </c>
      <c r="AM78" s="352" t="n">
        <f aca="false">IF(35&lt;5,0,IF(MAX(AH37:AM37)&gt;=$B$23,1,0))</f>
        <v>1</v>
      </c>
      <c r="AN78" s="352" t="n">
        <f aca="false">IF(36&lt;5,0,IF(MAX(AI37:AN37)&gt;=$B$23,1,0))</f>
        <v>1</v>
      </c>
      <c r="AO78" s="352" t="n">
        <f aca="false">IF(37&lt;5,0,IF(MAX(AJ37:AO37)&gt;=$B$23,1,0))</f>
        <v>1</v>
      </c>
      <c r="AP78" s="352" t="n">
        <f aca="false">IF(38&lt;5,0,IF(MAX(AK37:AP37)&gt;=$B$23,1,0))</f>
        <v>1</v>
      </c>
      <c r="AQ78" s="352" t="n">
        <f aca="false">IF(39&lt;5,0,IF(MAX(AL37:AQ37)&gt;=$B$23,1,0))</f>
        <v>1</v>
      </c>
      <c r="AR78" s="352" t="n">
        <f aca="false">IF(40&lt;5,0,IF(MAX(AM37:AR37)&gt;=$B$23,1,0))</f>
        <v>1</v>
      </c>
      <c r="AS78" s="352" t="n">
        <f aca="false">IF(41&lt;5,0,IF(MAX(AN37:AS37)&gt;=$B$23,1,0))</f>
        <v>1</v>
      </c>
      <c r="AT78" s="352" t="n">
        <f aca="false">IF(42&lt;5,0,IF(MAX(AO37:AT37)&gt;=$B$23,1,0))</f>
        <v>1</v>
      </c>
      <c r="AU78" s="352" t="n">
        <f aca="false">IF(43&lt;5,0,IF(MAX(AP37:AU37)&gt;=$B$23,1,0))</f>
        <v>1</v>
      </c>
      <c r="AV78" s="352" t="n">
        <f aca="false">IF(44&lt;5,0,IF(MAX(AQ37:AV37)&gt;=$B$23,1,0))</f>
        <v>1</v>
      </c>
      <c r="AW78" s="352" t="n">
        <f aca="false">IF(45&lt;5,0,IF(MAX(AR37:AW37)&gt;=$B$23,1,0))</f>
        <v>1</v>
      </c>
      <c r="AX78" s="352" t="n">
        <f aca="false">IF(46&lt;5,0,IF(MAX(AS37:AX37)&gt;=$B$23,1,0))</f>
        <v>1</v>
      </c>
      <c r="AY78" s="352" t="n">
        <f aca="false">IF(47&lt;5,0,IF(MAX(AT37:AY37)&gt;=$B$23,1,0))</f>
        <v>1</v>
      </c>
      <c r="AZ78" s="352" t="n">
        <f aca="false">IF(48&lt;5,0,IF(MAX(AU37:AZ37)&gt;=$B$23,1,0))</f>
        <v>1</v>
      </c>
      <c r="BA78" s="352" t="n">
        <f aca="false">IF(49&lt;5,0,IF(MAX(AV37:BA37)&gt;=$B$23,1,0))</f>
        <v>1</v>
      </c>
      <c r="BB78" s="352" t="n">
        <f aca="false">IF(50&lt;5,0,IF(MAX(AW37:BB37)&gt;=$B$23,1,0))</f>
        <v>1</v>
      </c>
      <c r="BC78" s="352" t="n">
        <f aca="false">IF(51&lt;5,0,IF(MAX(AX37:BC37)&gt;=$B$23,1,0))</f>
        <v>1</v>
      </c>
      <c r="BD78" s="352" t="n">
        <f aca="false">IF(52&lt;5,0,IF(MAX(AY37:BD37)&gt;=$B$23,1,0))</f>
        <v>1</v>
      </c>
      <c r="BE78" s="352" t="n">
        <f aca="false">IF(53&lt;5,0,IF(MAX(AZ37:BE37)&gt;=$B$23,1,0))</f>
        <v>1</v>
      </c>
      <c r="BF78" s="352" t="n">
        <f aca="false">IF(54&lt;5,0,IF(MAX(BA37:BF37)&gt;=$B$23,1,0))</f>
        <v>1</v>
      </c>
      <c r="BG78" s="352" t="n">
        <f aca="false">IF(55&lt;5,0,IF(MAX(BB37:BG37)&gt;=$B$23,1,0))</f>
        <v>1</v>
      </c>
      <c r="BH78" s="352" t="n">
        <f aca="false">IF(56&lt;5,0,IF(MAX(BC37:BH37)&gt;=$B$23,1,0))</f>
        <v>1</v>
      </c>
      <c r="BI78" s="352" t="n">
        <f aca="false">IF(57&lt;5,0,IF(MAX(BD37:BI37)&gt;=$B$23,1,0))</f>
        <v>1</v>
      </c>
      <c r="BJ78" s="352" t="n">
        <f aca="false">IF(58&lt;5,0,IF(MAX(BE37:BJ37)&gt;=$B$23,1,0))</f>
        <v>1</v>
      </c>
      <c r="BK78" s="352" t="n">
        <f aca="false">IF(59&lt;5,0,IF(MAX(BF37:BK37)&gt;=$B$23,1,0))</f>
        <v>1</v>
      </c>
      <c r="BL78" s="352" t="n">
        <f aca="false">IF(60&lt;5,0,IF(MAX(BG37:BL37)&gt;=$B$23,1,0))</f>
        <v>1</v>
      </c>
      <c r="BM78" s="352" t="n">
        <f aca="false">IF(61&lt;5,0,IF(MAX(BH37:BM37)&gt;=$B$23,1,0))</f>
        <v>1</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1206</v>
      </c>
      <c r="B80" s="210"/>
      <c r="C80" s="210"/>
      <c r="D80" s="210"/>
      <c r="E80" s="210"/>
      <c r="F80" s="210"/>
    </row>
    <row r="81" customFormat="false" ht="13.5" hidden="false" customHeight="true" outlineLevel="0" collapsed="false">
      <c r="A81" s="109" t="s">
        <v>1207</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106666.666666667</v>
      </c>
      <c r="R81" s="353" t="n">
        <f aca="false">(SUMPRODUCT($B$49:$B$58,R49:R58)+SUMPRODUCT($B$61:$B$68,R61:R68)+SUMPRODUCT($B$71:$B$74,R71:R74)+SUMPRODUCT($B$77:$B$78,R77:R78)+SUMPRODUCT($B$99:$B$104,R99:R104))/12</f>
        <v>137083.333333333</v>
      </c>
      <c r="S81" s="353" t="n">
        <f aca="false">(SUMPRODUCT($B$49:$B$58,S49:S58)+SUMPRODUCT($B$61:$B$68,S61:S68)+SUMPRODUCT($B$71:$B$74,S71:S74)+SUMPRODUCT($B$77:$B$78,S77:S78)+SUMPRODUCT($B$99:$B$104,S99:S104))/12</f>
        <v>158333.333333333</v>
      </c>
      <c r="T81" s="353" t="n">
        <f aca="false">(SUMPRODUCT($B$49:$B$58,T49:T58)+SUMPRODUCT($B$61:$B$68,T61:T68)+SUMPRODUCT($B$71:$B$74,T71:T74)+SUMPRODUCT($B$77:$B$78,T77:T78)+SUMPRODUCT($B$99:$B$104,T99:T104))/12</f>
        <v>158333.333333333</v>
      </c>
      <c r="U81" s="353" t="n">
        <f aca="false">(SUMPRODUCT($B$49:$B$58,U49:U58)+SUMPRODUCT($B$61:$B$68,U61:U68)+SUMPRODUCT($B$71:$B$74,U71:U74)+SUMPRODUCT($B$77:$B$78,U77:U78)+SUMPRODUCT($B$99:$B$104,U99:U104))/12</f>
        <v>158333.333333333</v>
      </c>
      <c r="V81" s="353" t="n">
        <f aca="false">(SUMPRODUCT($B$49:$B$58,V49:V58)+SUMPRODUCT($B$61:$B$68,V61:V68)+SUMPRODUCT($B$71:$B$74,V71:V74)+SUMPRODUCT($B$77:$B$78,V77:V78)+SUMPRODUCT($B$99:$B$104,V99:V104))/12</f>
        <v>158333.333333333</v>
      </c>
      <c r="W81" s="353" t="n">
        <f aca="false">(SUMPRODUCT($B$49:$B$58,W49:W58)+SUMPRODUCT($B$61:$B$68,W61:W68)+SUMPRODUCT($B$71:$B$74,W71:W74)+SUMPRODUCT($B$77:$B$78,W77:W78)+SUMPRODUCT($B$99:$B$104,W99:W104))/12</f>
        <v>158333.333333333</v>
      </c>
      <c r="X81" s="353" t="n">
        <f aca="false">(SUMPRODUCT($B$49:$B$58,X49:X58)+SUMPRODUCT($B$61:$B$68,X61:X68)+SUMPRODUCT($B$71:$B$74,X71:X74)+SUMPRODUCT($B$77:$B$78,X77:X78)+SUMPRODUCT($B$99:$B$104,X99:X104))/12</f>
        <v>158333.333333333</v>
      </c>
      <c r="Y81" s="353" t="n">
        <f aca="false">(SUMPRODUCT($B$49:$B$58,Y49:Y58)+SUMPRODUCT($B$61:$B$68,Y61:Y68)+SUMPRODUCT($B$71:$B$74,Y71:Y74)+SUMPRODUCT($B$77:$B$78,Y77:Y78)+SUMPRODUCT($B$99:$B$104,Y99:Y104))/12</f>
        <v>158333.333333333</v>
      </c>
      <c r="Z81" s="353" t="n">
        <f aca="false">(SUMPRODUCT($B$49:$B$58,Z49:Z58)+SUMPRODUCT($B$61:$B$68,Z61:Z68)+SUMPRODUCT($B$71:$B$74,Z71:Z74)+SUMPRODUCT($B$77:$B$78,Z77:Z78)+SUMPRODUCT($B$99:$B$104,Z99:Z104))/12</f>
        <v>158333.333333333</v>
      </c>
      <c r="AA81" s="353" t="n">
        <f aca="false">(SUMPRODUCT($B$49:$B$58,AA49:AA58)+SUMPRODUCT($B$61:$B$68,AA61:AA68)+SUMPRODUCT($B$71:$B$74,AA71:AA74)+SUMPRODUCT($B$77:$B$78,AA77:AA78)+SUMPRODUCT($B$99:$B$104,AA99:AA104))/12</f>
        <v>158333.333333333</v>
      </c>
      <c r="AB81" s="353" t="n">
        <f aca="false">(SUMPRODUCT($B$49:$B$58,AB49:AB58)+SUMPRODUCT($B$61:$B$68,AB61:AB68)+SUMPRODUCT($B$71:$B$74,AB71:AB74)+SUMPRODUCT($B$77:$B$78,AB77:AB78)+SUMPRODUCT($B$99:$B$104,AB99:AB104))/12</f>
        <v>158333.333333333</v>
      </c>
      <c r="AC81" s="353" t="n">
        <f aca="false">(SUMPRODUCT($B$49:$B$58,AC49:AC58)+SUMPRODUCT($B$61:$B$68,AC61:AC68)+SUMPRODUCT($B$71:$B$74,AC71:AC74)+SUMPRODUCT($B$77:$B$78,AC77:AC78)+SUMPRODUCT($B$99:$B$104,AC99:AC104))/12</f>
        <v>158333.333333333</v>
      </c>
      <c r="AD81" s="353" t="n">
        <f aca="false">(SUMPRODUCT($B$49:$B$58,AD49:AD58)+SUMPRODUCT($B$61:$B$68,AD61:AD68)+SUMPRODUCT($B$71:$B$74,AD71:AD74)+SUMPRODUCT($B$77:$B$78,AD77:AD78)+SUMPRODUCT($B$99:$B$104,AD99:AD104))/12</f>
        <v>158333.333333333</v>
      </c>
      <c r="AE81" s="353" t="n">
        <f aca="false">(SUMPRODUCT($B$49:$B$58,AE49:AE58)+SUMPRODUCT($B$61:$B$68,AE61:AE68)+SUMPRODUCT($B$71:$B$74,AE71:AE74)+SUMPRODUCT($B$77:$B$78,AE77:AE78)+SUMPRODUCT($B$99:$B$104,AE99:AE104))/12</f>
        <v>158333.333333333</v>
      </c>
      <c r="AF81" s="353" t="n">
        <f aca="false">(SUMPRODUCT($B$49:$B$58,AF49:AF58)+SUMPRODUCT($B$61:$B$68,AF61:AF68)+SUMPRODUCT($B$71:$B$74,AF71:AF74)+SUMPRODUCT($B$77:$B$78,AF77:AF78)+SUMPRODUCT($B$99:$B$104,AF99:AF104))/12</f>
        <v>158333.333333333</v>
      </c>
      <c r="AG81" s="353" t="n">
        <f aca="false">(SUMPRODUCT($B$49:$B$58,AG49:AG58)+SUMPRODUCT($B$61:$B$68,AG61:AG68)+SUMPRODUCT($B$71:$B$74,AG71:AG74)+SUMPRODUCT($B$77:$B$78,AG77:AG78)+SUMPRODUCT($B$99:$B$104,AG99:AG104))/12</f>
        <v>168750</v>
      </c>
      <c r="AH81" s="353" t="n">
        <f aca="false">(SUMPRODUCT($B$49:$B$58,AH49:AH58)+SUMPRODUCT($B$61:$B$68,AH61:AH68)+SUMPRODUCT($B$71:$B$74,AH71:AH74)+SUMPRODUCT($B$77:$B$78,AH77:AH78)+SUMPRODUCT($B$99:$B$104,AH99:AH104))/12</f>
        <v>168750</v>
      </c>
      <c r="AI81" s="353" t="n">
        <f aca="false">(SUMPRODUCT($B$49:$B$58,AI49:AI58)+SUMPRODUCT($B$61:$B$68,AI61:AI68)+SUMPRODUCT($B$71:$B$74,AI71:AI74)+SUMPRODUCT($B$77:$B$78,AI77:AI78)+SUMPRODUCT($B$99:$B$104,AI99:AI104))/12</f>
        <v>168750</v>
      </c>
      <c r="AJ81" s="353" t="n">
        <f aca="false">(SUMPRODUCT($B$49:$B$58,AJ49:AJ58)+SUMPRODUCT($B$61:$B$68,AJ61:AJ68)+SUMPRODUCT($B$71:$B$74,AJ71:AJ74)+SUMPRODUCT($B$77:$B$78,AJ77:AJ78)+SUMPRODUCT($B$99:$B$104,AJ99:AJ104))/12</f>
        <v>168750</v>
      </c>
      <c r="AK81" s="353" t="n">
        <f aca="false">(SUMPRODUCT($B$49:$B$58,AK49:AK58)+SUMPRODUCT($B$61:$B$68,AK61:AK68)+SUMPRODUCT($B$71:$B$74,AK71:AK74)+SUMPRODUCT($B$77:$B$78,AK77:AK78)+SUMPRODUCT($B$99:$B$104,AK99:AK104))/12</f>
        <v>168750</v>
      </c>
      <c r="AL81" s="353" t="n">
        <f aca="false">(SUMPRODUCT($B$49:$B$58,AL49:AL58)+SUMPRODUCT($B$61:$B$68,AL61:AL68)+SUMPRODUCT($B$71:$B$74,AL71:AL74)+SUMPRODUCT($B$77:$B$78,AL77:AL78)+SUMPRODUCT($B$99:$B$104,AL99:AL104))/12</f>
        <v>168750</v>
      </c>
      <c r="AM81" s="353" t="n">
        <f aca="false">(SUMPRODUCT($B$49:$B$58,AM49:AM58)+SUMPRODUCT($B$61:$B$68,AM61:AM68)+SUMPRODUCT($B$71:$B$74,AM71:AM74)+SUMPRODUCT($B$77:$B$78,AM77:AM78)+SUMPRODUCT($B$99:$B$104,AM99:AM104))/12</f>
        <v>168750</v>
      </c>
      <c r="AN81" s="353" t="n">
        <f aca="false">(SUMPRODUCT($B$49:$B$58,AN49:AN58)+SUMPRODUCT($B$61:$B$68,AN61:AN68)+SUMPRODUCT($B$71:$B$74,AN71:AN74)+SUMPRODUCT($B$77:$B$78,AN77:AN78)+SUMPRODUCT($B$99:$B$104,AN99:AN104))/12</f>
        <v>189583.333333333</v>
      </c>
      <c r="AO81" s="353" t="n">
        <f aca="false">(SUMPRODUCT($B$49:$B$58,AO49:AO58)+SUMPRODUCT($B$61:$B$68,AO61:AO68)+SUMPRODUCT($B$71:$B$74,AO71:AO74)+SUMPRODUCT($B$77:$B$78,AO77:AO78)+SUMPRODUCT($B$99:$B$104,AO99:AO104))/12</f>
        <v>210833.333333333</v>
      </c>
      <c r="AP81" s="353" t="n">
        <f aca="false">(SUMPRODUCT($B$49:$B$58,AP49:AP58)+SUMPRODUCT($B$61:$B$68,AP61:AP68)+SUMPRODUCT($B$71:$B$74,AP71:AP74)+SUMPRODUCT($B$77:$B$78,AP77:AP78)+SUMPRODUCT($B$99:$B$104,AP99:AP104))/12</f>
        <v>210833.333333333</v>
      </c>
      <c r="AQ81" s="353" t="n">
        <f aca="false">(SUMPRODUCT($B$49:$B$58,AQ49:AQ58)+SUMPRODUCT($B$61:$B$68,AQ61:AQ68)+SUMPRODUCT($B$71:$B$74,AQ71:AQ74)+SUMPRODUCT($B$77:$B$78,AQ77:AQ78)+SUMPRODUCT($B$99:$B$104,AQ99:AQ104))/12</f>
        <v>210833.333333333</v>
      </c>
      <c r="AR81" s="353" t="n">
        <f aca="false">(SUMPRODUCT($B$49:$B$58,AR49:AR58)+SUMPRODUCT($B$61:$B$68,AR61:AR68)+SUMPRODUCT($B$71:$B$74,AR71:AR74)+SUMPRODUCT($B$77:$B$78,AR77:AR78)+SUMPRODUCT($B$99:$B$104,AR99:AR104))/12</f>
        <v>210833.333333333</v>
      </c>
      <c r="AS81" s="353" t="n">
        <f aca="false">(SUMPRODUCT($B$49:$B$58,AS49:AS58)+SUMPRODUCT($B$61:$B$68,AS61:AS68)+SUMPRODUCT($B$71:$B$74,AS71:AS74)+SUMPRODUCT($B$77:$B$78,AS77:AS78)+SUMPRODUCT($B$99:$B$104,AS99:AS104))/12</f>
        <v>210833.333333333</v>
      </c>
      <c r="AT81" s="353" t="n">
        <f aca="false">(SUMPRODUCT($B$49:$B$58,AT49:AT58)+SUMPRODUCT($B$61:$B$68,AT61:AT68)+SUMPRODUCT($B$71:$B$74,AT71:AT74)+SUMPRODUCT($B$77:$B$78,AT77:AT78)+SUMPRODUCT($B$99:$B$104,AT99:AT104))/12</f>
        <v>210833.333333333</v>
      </c>
      <c r="AU81" s="353" t="n">
        <f aca="false">(SUMPRODUCT($B$49:$B$58,AU49:AU58)+SUMPRODUCT($B$61:$B$68,AU61:AU68)+SUMPRODUCT($B$71:$B$74,AU71:AU74)+SUMPRODUCT($B$77:$B$78,AU77:AU78)+SUMPRODUCT($B$99:$B$104,AU99:AU104))/12</f>
        <v>210833.333333333</v>
      </c>
      <c r="AV81" s="353" t="n">
        <f aca="false">(SUMPRODUCT($B$49:$B$58,AV49:AV58)+SUMPRODUCT($B$61:$B$68,AV61:AV68)+SUMPRODUCT($B$71:$B$74,AV71:AV74)+SUMPRODUCT($B$77:$B$78,AV77:AV78)+SUMPRODUCT($B$99:$B$104,AV99:AV104))/12</f>
        <v>210833.333333333</v>
      </c>
      <c r="AW81" s="353" t="n">
        <f aca="false">(SUMPRODUCT($B$49:$B$58,AW49:AW58)+SUMPRODUCT($B$61:$B$68,AW61:AW68)+SUMPRODUCT($B$71:$B$74,AW71:AW74)+SUMPRODUCT($B$77:$B$78,AW77:AW78)+SUMPRODUCT($B$99:$B$104,AW99:AW104))/12</f>
        <v>210833.333333333</v>
      </c>
      <c r="AX81" s="353" t="n">
        <f aca="false">(SUMPRODUCT($B$49:$B$58,AX49:AX58)+SUMPRODUCT($B$61:$B$68,AX61:AX68)+SUMPRODUCT($B$71:$B$74,AX71:AX74)+SUMPRODUCT($B$77:$B$78,AX77:AX78)+SUMPRODUCT($B$99:$B$104,AX99:AX104))/12</f>
        <v>200000</v>
      </c>
      <c r="AY81" s="353" t="n">
        <f aca="false">(SUMPRODUCT($B$49:$B$58,AY49:AY58)+SUMPRODUCT($B$61:$B$68,AY61:AY68)+SUMPRODUCT($B$71:$B$74,AY71:AY74)+SUMPRODUCT($B$77:$B$78,AY77:AY78)+SUMPRODUCT($B$99:$B$104,AY99:AY104))/12</f>
        <v>200000</v>
      </c>
      <c r="AZ81" s="353" t="n">
        <f aca="false">(SUMPRODUCT($B$49:$B$58,AZ49:AZ58)+SUMPRODUCT($B$61:$B$68,AZ61:AZ68)+SUMPRODUCT($B$71:$B$74,AZ71:AZ74)+SUMPRODUCT($B$77:$B$78,AZ77:AZ78)+SUMPRODUCT($B$99:$B$104,AZ99:AZ104))/12</f>
        <v>200000</v>
      </c>
      <c r="BA81" s="353" t="n">
        <f aca="false">(SUMPRODUCT($B$49:$B$58,BA49:BA58)+SUMPRODUCT($B$61:$B$68,BA61:BA68)+SUMPRODUCT($B$71:$B$74,BA71:BA74)+SUMPRODUCT($B$77:$B$78,BA77:BA78)+SUMPRODUCT($B$99:$B$104,BA99:BA104))/12</f>
        <v>200000</v>
      </c>
      <c r="BB81" s="353" t="n">
        <f aca="false">(SUMPRODUCT($B$49:$B$58,BB49:BB58)+SUMPRODUCT($B$61:$B$68,BB61:BB68)+SUMPRODUCT($B$71:$B$74,BB71:BB74)+SUMPRODUCT($B$77:$B$78,BB77:BB78)+SUMPRODUCT($B$99:$B$104,BB99:BB104))/12</f>
        <v>164166.666666667</v>
      </c>
      <c r="BC81" s="353" t="n">
        <f aca="false">(SUMPRODUCT($B$49:$B$58,BC49:BC58)+SUMPRODUCT($B$61:$B$68,BC61:BC68)+SUMPRODUCT($B$71:$B$74,BC71:BC74)+SUMPRODUCT($B$77:$B$78,BC77:BC78)+SUMPRODUCT($B$99:$B$104,BC99:BC104))/12</f>
        <v>153750</v>
      </c>
      <c r="BD81" s="353" t="n">
        <f aca="false">(SUMPRODUCT($B$49:$B$58,BD49:BD58)+SUMPRODUCT($B$61:$B$68,BD61:BD68)+SUMPRODUCT($B$71:$B$74,BD71:BD74)+SUMPRODUCT($B$77:$B$78,BD77:BD78)+SUMPRODUCT($B$99:$B$104,BD99:BD104))/12</f>
        <v>153750</v>
      </c>
      <c r="BE81" s="353" t="n">
        <f aca="false">(SUMPRODUCT($B$49:$B$58,BE49:BE58)+SUMPRODUCT($B$61:$B$68,BE61:BE68)+SUMPRODUCT($B$71:$B$74,BE71:BE74)+SUMPRODUCT($B$77:$B$78,BE77:BE78)+SUMPRODUCT($B$99:$B$104,BE99:BE104))/12</f>
        <v>153750</v>
      </c>
      <c r="BF81" s="353" t="n">
        <f aca="false">(SUMPRODUCT($B$49:$B$58,BF49:BF58)+SUMPRODUCT($B$61:$B$68,BF61:BF68)+SUMPRODUCT($B$71:$B$74,BF71:BF74)+SUMPRODUCT($B$77:$B$78,BF77:BF78)+SUMPRODUCT($B$99:$B$104,BF99:BF104))/12</f>
        <v>153750</v>
      </c>
      <c r="BG81" s="353" t="n">
        <f aca="false">(SUMPRODUCT($B$49:$B$58,BG49:BG58)+SUMPRODUCT($B$61:$B$68,BG61:BG68)+SUMPRODUCT($B$71:$B$74,BG71:BG74)+SUMPRODUCT($B$77:$B$78,BG77:BG78)+SUMPRODUCT($B$99:$B$104,BG99:BG104))/12</f>
        <v>153750</v>
      </c>
      <c r="BH81" s="353" t="n">
        <f aca="false">(SUMPRODUCT($B$49:$B$58,BH49:BH58)+SUMPRODUCT($B$61:$B$68,BH61:BH68)+SUMPRODUCT($B$71:$B$74,BH71:BH74)+SUMPRODUCT($B$77:$B$78,BH77:BH78)+SUMPRODUCT($B$99:$B$104,BH99:BH104))/12</f>
        <v>153750</v>
      </c>
      <c r="BI81" s="353" t="n">
        <f aca="false">(SUMPRODUCT($B$49:$B$58,BI49:BI58)+SUMPRODUCT($B$61:$B$68,BI61:BI68)+SUMPRODUCT($B$71:$B$74,BI71:BI74)+SUMPRODUCT($B$77:$B$78,BI77:BI78)+SUMPRODUCT($B$99:$B$104,BI99:BI104))/12</f>
        <v>153750</v>
      </c>
      <c r="BJ81" s="353" t="n">
        <f aca="false">(SUMPRODUCT($B$49:$B$58,BJ49:BJ58)+SUMPRODUCT($B$61:$B$68,BJ61:BJ68)+SUMPRODUCT($B$71:$B$74,BJ71:BJ74)+SUMPRODUCT($B$77:$B$78,BJ77:BJ78)+SUMPRODUCT($B$99:$B$104,BJ99:BJ104))/12</f>
        <v>153750</v>
      </c>
      <c r="BK81" s="353" t="n">
        <f aca="false">(SUMPRODUCT($B$49:$B$58,BK49:BK58)+SUMPRODUCT($B$61:$B$68,BK61:BK68)+SUMPRODUCT($B$71:$B$74,BK71:BK74)+SUMPRODUCT($B$77:$B$78,BK77:BK78)+SUMPRODUCT($B$99:$B$104,BK99:BK104))/12</f>
        <v>142916.666666667</v>
      </c>
      <c r="BL81" s="353" t="n">
        <f aca="false">(SUMPRODUCT($B$49:$B$58,BL49:BL58)+SUMPRODUCT($B$61:$B$68,BL61:BL68)+SUMPRODUCT($B$71:$B$74,BL71:BL74)+SUMPRODUCT($B$77:$B$78,BL77:BL78)+SUMPRODUCT($B$99:$B$104,BL99:BL104))/12</f>
        <v>142916.666666667</v>
      </c>
      <c r="BM81" s="353" t="n">
        <f aca="false">(SUMPRODUCT($B$49:$B$58,BM49:BM58)+SUMPRODUCT($B$61:$B$68,BM61:BM68)+SUMPRODUCT($B$71:$B$74,BM71:BM74)+SUMPRODUCT($B$77:$B$78,BM77:BM78)+SUMPRODUCT($B$99:$B$104,BM99:BM104))/12</f>
        <v>132500</v>
      </c>
      <c r="BN81" s="353" t="n">
        <f aca="false">(SUMPRODUCT($B$49:$B$58,BN49:BN58)+SUMPRODUCT($B$61:$B$68,BN61:BN68)+SUMPRODUCT($B$71:$B$74,BN71:BN74)+SUMPRODUCT($B$77:$B$78,BN77:BN78)+SUMPRODUCT($B$99:$B$104,BN99:BN104))/12</f>
        <v>115416.666666667</v>
      </c>
      <c r="BO81" s="353" t="n">
        <f aca="false">(SUMPRODUCT($B$49:$B$58,BO49:BO58)+SUMPRODUCT($B$61:$B$68,BO61:BO68)+SUMPRODUCT($B$71:$B$74,BO71:BO74)+SUMPRODUCT($B$77:$B$78,BO77:BO78)+SUMPRODUCT($B$99:$B$104,BO99:BO104))/12</f>
        <v>71666.6666666667</v>
      </c>
      <c r="BP81" s="353" t="n">
        <f aca="false">(SUMPRODUCT($B$49:$B$58,BP49:BP58)+SUMPRODUCT($B$61:$B$68,BP61:BP68)+SUMPRODUCT($B$71:$B$74,BP71:BP74)+SUMPRODUCT($B$77:$B$78,BP77:BP78)+SUMPRODUCT($B$99:$B$104,BP99:BP104))/12</f>
        <v>47916.6666666667</v>
      </c>
      <c r="BQ81" s="353" t="n">
        <f aca="false">(SUMPRODUCT($B$49:$B$58,BQ49:BQ58)+SUMPRODUCT($B$61:$B$68,BQ61:BQ68)+SUMPRODUCT($B$71:$B$74,BQ71:BQ74)+SUMPRODUCT($B$77:$B$78,BQ77:BQ78)+SUMPRODUCT($B$99:$B$104,BQ99:BQ104))/12</f>
        <v>37083.3333333333</v>
      </c>
      <c r="BR81" s="353" t="n">
        <f aca="false">(SUMPRODUCT($B$49:$B$58,BR49:BR58)+SUMPRODUCT($B$61:$B$68,BR61:BR68)+SUMPRODUCT($B$71:$B$74,BR71:BR74)+SUMPRODUCT($B$77:$B$78,BR77:BR78)+SUMPRODUCT($B$99:$B$104,BR99:BR104))/12</f>
        <v>37083.3333333333</v>
      </c>
      <c r="BS81" s="353" t="n">
        <f aca="false">(SUMPRODUCT($B$49:$B$58,BS49:BS58)+SUMPRODUCT($B$61:$B$68,BS61:BS68)+SUMPRODUCT($B$71:$B$74,BS71:BS74)+SUMPRODUCT($B$77:$B$78,BS77:BS78)+SUMPRODUCT($B$99:$B$104,BS99:BS104))/12</f>
        <v>37083.3333333333</v>
      </c>
      <c r="BT81" s="353" t="n">
        <f aca="false">(SUMPRODUCT($B$49:$B$58,BT49:BT58)+SUMPRODUCT($B$61:$B$68,BT61:BT68)+SUMPRODUCT($B$71:$B$74,BT71:BT74)+SUMPRODUCT($B$77:$B$78,BT77:BT78)+SUMPRODUCT($B$99:$B$104,BT99:BT104))/12</f>
        <v>23750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1208</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12000</v>
      </c>
      <c r="R82" s="353" t="n">
        <f aca="false">(SUMPRODUCT($B$49:$B$58,(R49:R58&gt;Q49:Q58)*1)+SUMPRODUCT($B$61:$B$68,(R61:R68&gt;Q61:Q68)*1)+SUMPRODUCT($B$71:$B$74,(R71:R74&gt;Q71:Q74)*1)+SUMPRODUCT($B$77:$B$78,(R77:R78&gt;Q77:Q78)*1)+SUMPRODUCT($B$99:$B$104,(R99:R104&gt;Q99:Q104)*1))*$B$21</f>
        <v>27375</v>
      </c>
      <c r="S82" s="353" t="n">
        <f aca="false">(SUMPRODUCT($B$49:$B$58,(S49:S58&gt;R49:R58)*1)+SUMPRODUCT($B$61:$B$68,(S61:S68&gt;R61:R68)*1)+SUMPRODUCT($B$71:$B$74,(S71:S74&gt;R71:R74)*1)+SUMPRODUCT($B$77:$B$78,(S77:S78&gt;R77:R78)*1)+SUMPRODUCT($B$99:$B$104,(S99:S104&gt;R99:R104)*1))*$B$21</f>
        <v>19125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9375</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18750</v>
      </c>
      <c r="AO82" s="353" t="n">
        <f aca="false">(SUMPRODUCT($B$49:$B$58,(AO49:AO58&gt;AN49:AN58)*1)+SUMPRODUCT($B$61:$B$68,(AO61:AO68&gt;AN61:AN68)*1)+SUMPRODUCT($B$71:$B$74,(AO71:AO74&gt;AN71:AN74)*1)+SUMPRODUCT($B$77:$B$78,(AO77:AO78&gt;AN77:AN78)*1)+SUMPRODUCT($B$99:$B$104,(AO99:AO104&gt;AN99:AN104)*1))*$B$21</f>
        <v>19125</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1209</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0</v>
      </c>
      <c r="AA83" s="353" t="n">
        <f aca="false">(SUMPRODUCT($B$49:$B$58,(Z49:Z58&gt;AA49:AA58)*1)+SUMPRODUCT($B$61:$B$68,(Z61:Z68&gt;AA61:AA68)*1)+SUMPRODUCT($B$71:$B$74,(Z71:Z74&gt;AA71:AA74)*1)+SUMPRODUCT($B$77:$B$78,(Z77:Z78&gt;AA77:AA78)*1)+SUMPRODUCT($B$99:$B$104,(Z99:Z104&gt;AA99:AA104)*1))*$B$20/52</f>
        <v>0</v>
      </c>
      <c r="AB83" s="353" t="n">
        <f aca="false">(SUMPRODUCT($B$49:$B$58,(AA49:AA58&gt;AB49:AB58)*1)+SUMPRODUCT($B$61:$B$68,(AA61:AA68&gt;AB61:AB68)*1)+SUMPRODUCT($B$71:$B$74,(AA71:AA74&gt;AB71:AB74)*1)+SUMPRODUCT($B$77:$B$78,(AA77:AA78&gt;AB77:AB78)*1)+SUMPRODUCT($B$99:$B$104,(AA99:AA104&gt;AB99:AB104)*1))*$B$20/52</f>
        <v>0</v>
      </c>
      <c r="AC83" s="353" t="n">
        <f aca="false">(SUMPRODUCT($B$49:$B$58,(AB49:AB58&gt;AC49:AC58)*1)+SUMPRODUCT($B$61:$B$68,(AB61:AB68&gt;AC61:AC68)*1)+SUMPRODUCT($B$71:$B$74,(AB71:AB74&gt;AC71:AC74)*1)+SUMPRODUCT($B$77:$B$78,(AB77:AB78&gt;AC77:AC78)*1)+SUMPRODUCT($B$99:$B$104,(AB99:AB104&gt;AC99:AC104)*1))*$B$20/52</f>
        <v>0</v>
      </c>
      <c r="AD83" s="353" t="n">
        <f aca="false">(SUMPRODUCT($B$49:$B$58,(AC49:AC58&gt;AD49:AD58)*1)+SUMPRODUCT($B$61:$B$68,(AC61:AC68&gt;AD61:AD68)*1)+SUMPRODUCT($B$71:$B$74,(AC71:AC74&gt;AD71:AD74)*1)+SUMPRODUCT($B$77:$B$78,(AC77:AC78&gt;AD77:AD78)*1)+SUMPRODUCT($B$99:$B$104,(AC99:AC104&gt;AD99:AD104)*1))*$B$20/52</f>
        <v>0</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0</v>
      </c>
      <c r="AI83" s="353" t="n">
        <f aca="false">(SUMPRODUCT($B$49:$B$58,(AH49:AH58&gt;AI49:AI58)*1)+SUMPRODUCT($B$61:$B$68,(AH61:AH68&gt;AI61:AI68)*1)+SUMPRODUCT($B$71:$B$74,(AH71:AH74&gt;AI71:AI74)*1)+SUMPRODUCT($B$77:$B$78,(AH77:AH78&gt;AI77:AI78)*1)+SUMPRODUCT($B$99:$B$104,(AH99:AH104&gt;AI99:AI104)*1))*$B$20/52</f>
        <v>0</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0</v>
      </c>
      <c r="AM83" s="353" t="n">
        <f aca="false">(SUMPRODUCT($B$49:$B$58,(AL49:AL58&gt;AM49:AM58)*1)+SUMPRODUCT($B$61:$B$68,(AL61:AL68&gt;AM61:AM68)*1)+SUMPRODUCT($B$71:$B$74,(AL71:AL74&gt;AM71:AM74)*1)+SUMPRODUCT($B$77:$B$78,(AL77:AL78&gt;AM77:AM78)*1)+SUMPRODUCT($B$99:$B$104,(AL99:AL104&gt;AM99:AM104)*1))*$B$20/52</f>
        <v>0</v>
      </c>
      <c r="AN83" s="353" t="n">
        <f aca="false">(SUMPRODUCT($B$49:$B$58,(AM49:AM58&gt;AN49:AN58)*1)+SUMPRODUCT($B$61:$B$68,(AM61:AM68&gt;AN61:AN68)*1)+SUMPRODUCT($B$71:$B$74,(AM71:AM74&gt;AN71:AN74)*1)+SUMPRODUCT($B$77:$B$78,(AM77:AM78&gt;AN77:AN78)*1)+SUMPRODUCT($B$99:$B$104,(AM99:AM104&gt;AN99:AN104)*1))*$B$20/52</f>
        <v>0</v>
      </c>
      <c r="AO83" s="353" t="n">
        <f aca="false">(SUMPRODUCT($B$49:$B$58,(AN49:AN58&gt;AO49:AO58)*1)+SUMPRODUCT($B$61:$B$68,(AN61:AN68&gt;AO61:AO68)*1)+SUMPRODUCT($B$71:$B$74,(AN71:AN74&gt;AO71:AO74)*1)+SUMPRODUCT($B$77:$B$78,(AN77:AN78&gt;AO77:AO78)*1)+SUMPRODUCT($B$99:$B$104,(AN99:AN104&gt;AO99:AO104)*1))*$B$20/52</f>
        <v>0</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0</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10000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33076.9230769231</v>
      </c>
      <c r="BC83" s="353" t="n">
        <f aca="false">(SUMPRODUCT($B$49:$B$58,(BB49:BB58&gt;BC49:BC58)*1)+SUMPRODUCT($B$61:$B$68,(BB61:BB68&gt;BC61:BC68)*1)+SUMPRODUCT($B$71:$B$74,(BB71:BB74&gt;BC71:BC74)*1)+SUMPRODUCT($B$77:$B$78,(BB77:BB78&gt;BC77:BC78)*1)+SUMPRODUCT($B$99:$B$104,(BB99:BB104&gt;BC99:BC104)*1))*$B$20/52</f>
        <v>9615.38461538462</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10000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9615.38461538462</v>
      </c>
      <c r="BN83" s="353" t="n">
        <f aca="false">(SUMPRODUCT($B$49:$B$58,(BM49:BM58&gt;BN49:BN58)*1)+SUMPRODUCT($B$61:$B$68,(BM61:BM68&gt;BN61:BN68)*1)+SUMPRODUCT($B$71:$B$74,(BM71:BM74&gt;BN71:BN74)*1)+SUMPRODUCT($B$77:$B$78,(BM77:BM78&gt;BN77:BN78)*1)+SUMPRODUCT($B$99:$B$104,(BM99:BM104&gt;BN99:BN104)*1))*$B$20/52</f>
        <v>15769.2307692308</v>
      </c>
      <c r="BO83" s="353" t="n">
        <f aca="false">(SUMPRODUCT($B$49:$B$58,(BN49:BN58&gt;BO49:BO58)*1)+SUMPRODUCT($B$61:$B$68,(BN61:BN68&gt;BO61:BO68)*1)+SUMPRODUCT($B$71:$B$74,(BN71:BN74&gt;BO71:BO74)*1)+SUMPRODUCT($B$77:$B$78,(BN77:BN78&gt;BO77:BO78)*1)+SUMPRODUCT($B$99:$B$104,(BN99:BN104&gt;BO99:BO104)*1))*$B$20/52</f>
        <v>40384.6153846154</v>
      </c>
      <c r="BP83" s="353" t="n">
        <f aca="false">(SUMPRODUCT($B$49:$B$58,(BO49:BO58&gt;BP49:BP58)*1)+SUMPRODUCT($B$61:$B$68,(BO61:BO68&gt;BP61:BP68)*1)+SUMPRODUCT($B$71:$B$74,(BO71:BO74&gt;BP71:BP74)*1)+SUMPRODUCT($B$77:$B$78,(BO77:BO78&gt;BP77:BP78)*1)+SUMPRODUCT($B$99:$B$104,(BO99:BO104&gt;BP99:BP104)*1))*$B$20/52</f>
        <v>21923.0769230769</v>
      </c>
      <c r="BQ83" s="353" t="n">
        <f aca="false">(SUMPRODUCT($B$49:$B$58,(BP49:BP58&gt;BQ49:BQ58)*1)+SUMPRODUCT($B$61:$B$68,(BP61:BP68&gt;BQ61:BQ68)*1)+SUMPRODUCT($B$71:$B$74,(BP71:BP74&gt;BQ71:BQ74)*1)+SUMPRODUCT($B$77:$B$78,(BP77:BP78&gt;BQ77:BQ78)*1)+SUMPRODUCT($B$99:$B$104,(BP99:BP104&gt;BQ99:BQ104)*1))*$B$20/52</f>
        <v>10000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12307.6923076923</v>
      </c>
      <c r="BU83" s="353" t="n">
        <f aca="false">(SUMPRODUCT($B$49:$B$58,(BT49:BT58&gt;BU49:BU58)*1)+SUMPRODUCT($B$61:$B$68,(BT61:BT68&gt;BU61:BU68)*1)+SUMPRODUCT($B$71:$B$74,(BT71:BT74&gt;BU71:BU74)*1)+SUMPRODUCT($B$77:$B$78,(BT77:BT78&gt;BU77:BU78)*1)+SUMPRODUCT($B$99:$B$104,(BT99:BT104&gt;BU99:BU104)*1))*$B$20/52</f>
        <v>21923.0769230769</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1210</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12000</v>
      </c>
      <c r="R84" s="353" t="n">
        <f aca="false">R82+R83</f>
        <v>27375</v>
      </c>
      <c r="S84" s="353" t="n">
        <f aca="false">S82+S83</f>
        <v>19125</v>
      </c>
      <c r="T84" s="353" t="n">
        <f aca="false">T82+T83</f>
        <v>0</v>
      </c>
      <c r="U84" s="353" t="n">
        <f aca="false">U82+U83</f>
        <v>0</v>
      </c>
      <c r="V84" s="353" t="n">
        <f aca="false">V82+V83</f>
        <v>0</v>
      </c>
      <c r="W84" s="353" t="n">
        <f aca="false">W82+W83</f>
        <v>0</v>
      </c>
      <c r="X84" s="353" t="n">
        <f aca="false">X82+X83</f>
        <v>0</v>
      </c>
      <c r="Y84" s="353" t="n">
        <f aca="false">Y82+Y83</f>
        <v>0</v>
      </c>
      <c r="Z84" s="353" t="n">
        <f aca="false">Z82+Z83</f>
        <v>0</v>
      </c>
      <c r="AA84" s="353" t="n">
        <f aca="false">AA82+AA83</f>
        <v>0</v>
      </c>
      <c r="AB84" s="353" t="n">
        <f aca="false">AB82+AB83</f>
        <v>0</v>
      </c>
      <c r="AC84" s="353" t="n">
        <f aca="false">AC82+AC83</f>
        <v>0</v>
      </c>
      <c r="AD84" s="353" t="n">
        <f aca="false">AD82+AD83</f>
        <v>0</v>
      </c>
      <c r="AE84" s="353" t="n">
        <f aca="false">AE82+AE83</f>
        <v>0</v>
      </c>
      <c r="AF84" s="353" t="n">
        <f aca="false">AF82+AF83</f>
        <v>0</v>
      </c>
      <c r="AG84" s="353" t="n">
        <f aca="false">AG82+AG83</f>
        <v>9375</v>
      </c>
      <c r="AH84" s="353" t="n">
        <f aca="false">AH82+AH83</f>
        <v>0</v>
      </c>
      <c r="AI84" s="353" t="n">
        <f aca="false">AI82+AI83</f>
        <v>0</v>
      </c>
      <c r="AJ84" s="353" t="n">
        <f aca="false">AJ82+AJ83</f>
        <v>0</v>
      </c>
      <c r="AK84" s="353" t="n">
        <f aca="false">AK82+AK83</f>
        <v>0</v>
      </c>
      <c r="AL84" s="353" t="n">
        <f aca="false">AL82+AL83</f>
        <v>0</v>
      </c>
      <c r="AM84" s="353" t="n">
        <f aca="false">AM82+AM83</f>
        <v>0</v>
      </c>
      <c r="AN84" s="353" t="n">
        <f aca="false">AN82+AN83</f>
        <v>18750</v>
      </c>
      <c r="AO84" s="353" t="n">
        <f aca="false">AO82+AO83</f>
        <v>19125</v>
      </c>
      <c r="AP84" s="353" t="n">
        <f aca="false">AP82+AP83</f>
        <v>0</v>
      </c>
      <c r="AQ84" s="353" t="n">
        <f aca="false">AQ82+AQ83</f>
        <v>0</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10000</v>
      </c>
      <c r="AY84" s="353" t="n">
        <f aca="false">AY82+AY83</f>
        <v>0</v>
      </c>
      <c r="AZ84" s="353" t="n">
        <f aca="false">AZ82+AZ83</f>
        <v>0</v>
      </c>
      <c r="BA84" s="353" t="n">
        <f aca="false">BA82+BA83</f>
        <v>0</v>
      </c>
      <c r="BB84" s="353" t="n">
        <f aca="false">BB82+BB83</f>
        <v>33076.9230769231</v>
      </c>
      <c r="BC84" s="353" t="n">
        <f aca="false">BC82+BC83</f>
        <v>9615.38461538462</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10000</v>
      </c>
      <c r="BL84" s="353" t="n">
        <f aca="false">BL82+BL83</f>
        <v>0</v>
      </c>
      <c r="BM84" s="353" t="n">
        <f aca="false">BM82+BM83</f>
        <v>9615.38461538462</v>
      </c>
      <c r="BN84" s="353" t="n">
        <f aca="false">BN82+BN83</f>
        <v>15769.2307692308</v>
      </c>
      <c r="BO84" s="353" t="n">
        <f aca="false">BO82+BO83</f>
        <v>40384.6153846154</v>
      </c>
      <c r="BP84" s="353" t="n">
        <f aca="false">BP82+BP83</f>
        <v>21923.0769230769</v>
      </c>
      <c r="BQ84" s="353" t="n">
        <f aca="false">BQ82+BQ83</f>
        <v>10000</v>
      </c>
      <c r="BR84" s="353" t="n">
        <f aca="false">BR82+BR83</f>
        <v>0</v>
      </c>
      <c r="BS84" s="353" t="n">
        <f aca="false">BS82+BS83</f>
        <v>0</v>
      </c>
      <c r="BT84" s="353" t="n">
        <f aca="false">BT82+BT83</f>
        <v>12307.6923076923</v>
      </c>
      <c r="BU84" s="353" t="n">
        <f aca="false">BU82+BU83</f>
        <v>21923.0769230769</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1211</v>
      </c>
      <c r="B86" s="210"/>
      <c r="C86" s="210"/>
      <c r="D86" s="210"/>
      <c r="E86" s="210"/>
      <c r="F86" s="210"/>
    </row>
    <row r="87" customFormat="false" ht="13.5" hidden="false" customHeight="true" outlineLevel="0" collapsed="false">
      <c r="A87" s="109" t="s">
        <v>1212</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11</v>
      </c>
      <c r="R87" s="351" t="n">
        <f aca="false">R43+SUM(R49:R58)</f>
        <v>12</v>
      </c>
      <c r="S87" s="351" t="n">
        <f aca="false">S43+SUM(S49:S58)</f>
        <v>12</v>
      </c>
      <c r="T87" s="351" t="n">
        <f aca="false">T43+SUM(T49:T58)</f>
        <v>12</v>
      </c>
      <c r="U87" s="351" t="n">
        <f aca="false">U43+SUM(U49:U58)</f>
        <v>12</v>
      </c>
      <c r="V87" s="351" t="n">
        <f aca="false">V43+SUM(V49:V58)</f>
        <v>12</v>
      </c>
      <c r="W87" s="351" t="n">
        <f aca="false">W43+SUM(W49:W58)</f>
        <v>12</v>
      </c>
      <c r="X87" s="351" t="n">
        <f aca="false">X43+SUM(X49:X58)</f>
        <v>12</v>
      </c>
      <c r="Y87" s="351" t="n">
        <f aca="false">Y43+SUM(Y49:Y58)</f>
        <v>12</v>
      </c>
      <c r="Z87" s="351" t="n">
        <f aca="false">Z43+SUM(Z49:Z58)</f>
        <v>12</v>
      </c>
      <c r="AA87" s="351" t="n">
        <f aca="false">AA43+SUM(AA49:AA58)</f>
        <v>12</v>
      </c>
      <c r="AB87" s="351" t="n">
        <f aca="false">AB43+SUM(AB49:AB58)</f>
        <v>12</v>
      </c>
      <c r="AC87" s="351" t="n">
        <f aca="false">AC43+SUM(AC49:AC58)</f>
        <v>12</v>
      </c>
      <c r="AD87" s="351" t="n">
        <f aca="false">AD43+SUM(AD49:AD58)</f>
        <v>12</v>
      </c>
      <c r="AE87" s="351" t="n">
        <f aca="false">AE43+SUM(AE49:AE58)</f>
        <v>12</v>
      </c>
      <c r="AF87" s="351" t="n">
        <f aca="false">AF43+SUM(AF49:AF58)</f>
        <v>12</v>
      </c>
      <c r="AG87" s="351" t="n">
        <f aca="false">AG43+SUM(AG49:AG58)</f>
        <v>12</v>
      </c>
      <c r="AH87" s="351" t="n">
        <f aca="false">AH43+SUM(AH49:AH58)</f>
        <v>12</v>
      </c>
      <c r="AI87" s="351" t="n">
        <f aca="false">AI43+SUM(AI49:AI58)</f>
        <v>12</v>
      </c>
      <c r="AJ87" s="351" t="n">
        <f aca="false">AJ43+SUM(AJ49:AJ58)</f>
        <v>12</v>
      </c>
      <c r="AK87" s="351" t="n">
        <f aca="false">AK43+SUM(AK49:AK58)</f>
        <v>12</v>
      </c>
      <c r="AL87" s="351" t="n">
        <f aca="false">AL43+SUM(AL49:AL58)</f>
        <v>12</v>
      </c>
      <c r="AM87" s="351" t="n">
        <f aca="false">AM43+SUM(AM49:AM58)</f>
        <v>12</v>
      </c>
      <c r="AN87" s="351" t="n">
        <f aca="false">AN43+SUM(AN49:AN58)</f>
        <v>13</v>
      </c>
      <c r="AO87" s="351" t="n">
        <f aca="false">AO43+SUM(AO49:AO58)</f>
        <v>14</v>
      </c>
      <c r="AP87" s="351" t="n">
        <f aca="false">AP43+SUM(AP49:AP58)</f>
        <v>14</v>
      </c>
      <c r="AQ87" s="351" t="n">
        <f aca="false">AQ43+SUM(AQ49:AQ58)</f>
        <v>14</v>
      </c>
      <c r="AR87" s="351" t="n">
        <f aca="false">AR43+SUM(AR49:AR58)</f>
        <v>14</v>
      </c>
      <c r="AS87" s="351" t="n">
        <f aca="false">AS43+SUM(AS49:AS58)</f>
        <v>14</v>
      </c>
      <c r="AT87" s="351" t="n">
        <f aca="false">AT43+SUM(AT49:AT58)</f>
        <v>14</v>
      </c>
      <c r="AU87" s="351" t="n">
        <f aca="false">AU43+SUM(AU49:AU58)</f>
        <v>14</v>
      </c>
      <c r="AV87" s="351" t="n">
        <f aca="false">AV43+SUM(AV49:AV58)</f>
        <v>14</v>
      </c>
      <c r="AW87" s="351" t="n">
        <f aca="false">AW43+SUM(AW49:AW58)</f>
        <v>14</v>
      </c>
      <c r="AX87" s="351" t="n">
        <f aca="false">AX43+SUM(AX49:AX58)</f>
        <v>14</v>
      </c>
      <c r="AY87" s="351" t="n">
        <f aca="false">AY43+SUM(AY49:AY58)</f>
        <v>14</v>
      </c>
      <c r="AZ87" s="351" t="n">
        <f aca="false">AZ43+SUM(AZ49:AZ58)</f>
        <v>14</v>
      </c>
      <c r="BA87" s="351" t="n">
        <f aca="false">BA43+SUM(BA49:BA58)</f>
        <v>14</v>
      </c>
      <c r="BB87" s="351" t="n">
        <f aca="false">BB43+SUM(BB49:BB58)</f>
        <v>13</v>
      </c>
      <c r="BC87" s="351" t="n">
        <f aca="false">BC43+SUM(BC49:BC58)</f>
        <v>13</v>
      </c>
      <c r="BD87" s="351" t="n">
        <f aca="false">BD43+SUM(BD49:BD58)</f>
        <v>13</v>
      </c>
      <c r="BE87" s="351" t="n">
        <f aca="false">BE43+SUM(BE49:BE58)</f>
        <v>13</v>
      </c>
      <c r="BF87" s="351" t="n">
        <f aca="false">BF43+SUM(BF49:BF58)</f>
        <v>13</v>
      </c>
      <c r="BG87" s="351" t="n">
        <f aca="false">BG43+SUM(BG49:BG58)</f>
        <v>13</v>
      </c>
      <c r="BH87" s="351" t="n">
        <f aca="false">BH43+SUM(BH49:BH58)</f>
        <v>13</v>
      </c>
      <c r="BI87" s="351" t="n">
        <f aca="false">BI43+SUM(BI49:BI58)</f>
        <v>13</v>
      </c>
      <c r="BJ87" s="351" t="n">
        <f aca="false">BJ43+SUM(BJ49:BJ58)</f>
        <v>13</v>
      </c>
      <c r="BK87" s="351" t="n">
        <f aca="false">BK43+SUM(BK49:BK58)</f>
        <v>13</v>
      </c>
      <c r="BL87" s="351" t="n">
        <f aca="false">BL43+SUM(BL49:BL58)</f>
        <v>13</v>
      </c>
      <c r="BM87" s="351" t="n">
        <f aca="false">BM43+SUM(BM49:BM58)</f>
        <v>12</v>
      </c>
      <c r="BN87" s="351" t="n">
        <f aca="false">BN43+SUM(BN49:BN58)</f>
        <v>12</v>
      </c>
      <c r="BO87" s="351" t="n">
        <f aca="false">BO43+SUM(BO49:BO58)</f>
        <v>10</v>
      </c>
      <c r="BP87" s="351" t="n">
        <f aca="false">BP43+SUM(BP49:BP58)</f>
        <v>9</v>
      </c>
      <c r="BQ87" s="351" t="n">
        <f aca="false">BQ43+SUM(BQ49:BQ58)</f>
        <v>9</v>
      </c>
      <c r="BR87" s="351" t="n">
        <f aca="false">BR43+SUM(BR49:BR58)</f>
        <v>9</v>
      </c>
      <c r="BS87" s="351" t="n">
        <f aca="false">BS43+SUM(BS49:BS58)</f>
        <v>9</v>
      </c>
      <c r="BT87" s="351" t="n">
        <f aca="false">BT43+SUM(BT49:BT58)</f>
        <v>8</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1213</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2</v>
      </c>
      <c r="T88" s="351" t="n">
        <f aca="false">T37-T87</f>
        <v>1</v>
      </c>
      <c r="U88" s="351" t="n">
        <f aca="false">U37-U87</f>
        <v>1</v>
      </c>
      <c r="V88" s="351" t="n">
        <f aca="false">V37-V87</f>
        <v>1</v>
      </c>
      <c r="W88" s="351" t="n">
        <f aca="false">W37-W87</f>
        <v>1</v>
      </c>
      <c r="X88" s="351" t="n">
        <f aca="false">X37-X87</f>
        <v>1</v>
      </c>
      <c r="Y88" s="351" t="n">
        <f aca="false">Y37-Y87</f>
        <v>1</v>
      </c>
      <c r="Z88" s="351" t="n">
        <f aca="false">Z37-Z87</f>
        <v>1</v>
      </c>
      <c r="AA88" s="351" t="n">
        <f aca="false">AA37-AA87</f>
        <v>1</v>
      </c>
      <c r="AB88" s="351" t="n">
        <f aca="false">AB37-AB87</f>
        <v>1</v>
      </c>
      <c r="AC88" s="351" t="n">
        <f aca="false">AC37-AC87</f>
        <v>0</v>
      </c>
      <c r="AD88" s="351" t="n">
        <f aca="false">AD37-AD87</f>
        <v>0</v>
      </c>
      <c r="AE88" s="351" t="n">
        <f aca="false">AE37-AE87</f>
        <v>1</v>
      </c>
      <c r="AF88" s="351" t="n">
        <f aca="false">AF37-AF87</f>
        <v>1</v>
      </c>
      <c r="AG88" s="351" t="n">
        <f aca="false">AG37-AG87</f>
        <v>0</v>
      </c>
      <c r="AH88" s="351" t="n">
        <f aca="false">AH37-AH87</f>
        <v>0</v>
      </c>
      <c r="AI88" s="351" t="n">
        <f aca="false">AI37-AI87</f>
        <v>0</v>
      </c>
      <c r="AJ88" s="351" t="n">
        <f aca="false">AJ37-AJ87</f>
        <v>1</v>
      </c>
      <c r="AK88" s="351" t="n">
        <f aca="false">AK37-AK87</f>
        <v>0</v>
      </c>
      <c r="AL88" s="351" t="n">
        <f aca="false">AL37-AL87</f>
        <v>1</v>
      </c>
      <c r="AM88" s="351" t="n">
        <f aca="false">AM37-AM87</f>
        <v>2</v>
      </c>
      <c r="AN88" s="351" t="n">
        <f aca="false">AN37-AN87</f>
        <v>2</v>
      </c>
      <c r="AO88" s="351" t="n">
        <f aca="false">AO37-AO87</f>
        <v>0</v>
      </c>
      <c r="AP88" s="351" t="n">
        <f aca="false">AP37-AP87</f>
        <v>0</v>
      </c>
      <c r="AQ88" s="351" t="n">
        <f aca="false">AQ37-AQ87</f>
        <v>1</v>
      </c>
      <c r="AR88" s="351" t="n">
        <f aca="false">AR37-AR87</f>
        <v>1</v>
      </c>
      <c r="AS88" s="351" t="n">
        <f aca="false">AS37-AS87</f>
        <v>1</v>
      </c>
      <c r="AT88" s="351" t="n">
        <f aca="false">AT37-AT87</f>
        <v>1</v>
      </c>
      <c r="AU88" s="351" t="n">
        <f aca="false">AU37-AU87</f>
        <v>1</v>
      </c>
      <c r="AV88" s="351" t="n">
        <f aca="false">AV37-AV87</f>
        <v>1</v>
      </c>
      <c r="AW88" s="351" t="n">
        <f aca="false">AW37-AW87</f>
        <v>0</v>
      </c>
      <c r="AX88" s="351" t="n">
        <f aca="false">AX37-AX87</f>
        <v>0</v>
      </c>
      <c r="AY88" s="351" t="n">
        <f aca="false">AY37-AY87</f>
        <v>0</v>
      </c>
      <c r="AZ88" s="351" t="n">
        <f aca="false">AZ37-AZ87</f>
        <v>0</v>
      </c>
      <c r="BA88" s="351" t="n">
        <f aca="false">BA37-BA87</f>
        <v>0</v>
      </c>
      <c r="BB88" s="351" t="n">
        <f aca="false">BB37-BB87</f>
        <v>1</v>
      </c>
      <c r="BC88" s="351" t="n">
        <f aca="false">BC37-BC87</f>
        <v>1</v>
      </c>
      <c r="BD88" s="351" t="n">
        <f aca="false">BD37-BD87</f>
        <v>1</v>
      </c>
      <c r="BE88" s="351" t="n">
        <f aca="false">BE37-BE87</f>
        <v>1</v>
      </c>
      <c r="BF88" s="351" t="n">
        <f aca="false">BF37-BF87</f>
        <v>1</v>
      </c>
      <c r="BG88" s="351" t="n">
        <f aca="false">BG37-BG87</f>
        <v>1</v>
      </c>
      <c r="BH88" s="351" t="n">
        <f aca="false">BH37-BH87</f>
        <v>0</v>
      </c>
      <c r="BI88" s="351" t="n">
        <f aca="false">BI37-BI87</f>
        <v>-2</v>
      </c>
      <c r="BJ88" s="351" t="n">
        <f aca="false">BJ37-BJ87</f>
        <v>-3</v>
      </c>
      <c r="BK88" s="351" t="n">
        <f aca="false">BK37-BK87</f>
        <v>-3</v>
      </c>
      <c r="BL88" s="351" t="n">
        <f aca="false">BL37-BL87</f>
        <v>-3</v>
      </c>
      <c r="BM88" s="351" t="n">
        <f aca="false">BM37-BM87</f>
        <v>-2</v>
      </c>
      <c r="BN88" s="351" t="n">
        <f aca="false">BN37-BN87</f>
        <v>-3</v>
      </c>
      <c r="BO88" s="351" t="n">
        <f aca="false">BO37-BO87</f>
        <v>-2</v>
      </c>
      <c r="BP88" s="351" t="n">
        <f aca="false">BP37-BP87</f>
        <v>-1</v>
      </c>
      <c r="BQ88" s="351" t="n">
        <f aca="false">BQ37-BQ87</f>
        <v>-1</v>
      </c>
      <c r="BR88" s="351" t="n">
        <f aca="false">BR37-BR87</f>
        <v>-1</v>
      </c>
      <c r="BS88" s="351" t="n">
        <f aca="false">BS37-BS87</f>
        <v>-2</v>
      </c>
      <c r="BT88" s="351" t="n">
        <f aca="false">BT37-BT87</f>
        <v>-2</v>
      </c>
      <c r="BU88" s="351" t="n">
        <f aca="false">BU37-BU87</f>
        <v>-2</v>
      </c>
      <c r="BV88" s="351" t="n">
        <f aca="false">BV37-BV87</f>
        <v>-3</v>
      </c>
      <c r="BW88" s="351" t="n">
        <f aca="false">BW37-BW87</f>
        <v>-4</v>
      </c>
      <c r="BX88" s="351" t="n">
        <f aca="false">BX37-BX87</f>
        <v>-5</v>
      </c>
      <c r="BY88" s="351" t="n">
        <f aca="false">BY37-BY87</f>
        <v>-6</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1214</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1.2375</v>
      </c>
      <c r="R89" s="351" t="n">
        <f aca="false">(R87+R44+SUM(R61:R68)+R45+SUM(R71:R74))-(R38+R39+R40)</f>
        <v>0.912500000000001</v>
      </c>
      <c r="S89" s="351" t="n">
        <f aca="false">(S87+S44+SUM(S61:S68)+S45+SUM(S71:S74))-(S38+S39+S40)</f>
        <v>0.262499999999999</v>
      </c>
      <c r="T89" s="351" t="n">
        <f aca="false">(T87+T44+SUM(T61:T68)+T45+SUM(T71:T74))-(T38+T39+T40)</f>
        <v>0.487500000000001</v>
      </c>
      <c r="U89" s="351" t="n">
        <f aca="false">(U87+U44+SUM(U61:U68)+U45+SUM(U71:U74))-(U38+U39+U40)</f>
        <v>1.92</v>
      </c>
      <c r="V89" s="351" t="n">
        <f aca="false">(V87+V44+SUM(V61:V68)+V45+SUM(V71:V74))-(V38+V39+V40)</f>
        <v>0.594999999999999</v>
      </c>
      <c r="W89" s="351" t="n">
        <f aca="false">(W87+W44+SUM(W61:W68)+W45+SUM(W71:W74))-(W38+W39+W40)</f>
        <v>0.370000000000001</v>
      </c>
      <c r="X89" s="351" t="n">
        <f aca="false">(X87+X44+SUM(X61:X68)+X45+SUM(X71:X74))-(X38+X39+X40)</f>
        <v>-0.404999999999998</v>
      </c>
      <c r="Y89" s="351" t="n">
        <f aca="false">(Y87+Y44+SUM(Y61:Y68)+Y45+SUM(Y71:Y74))-(Y38+Y39+Y40)</f>
        <v>0.920000000000002</v>
      </c>
      <c r="Z89" s="351" t="n">
        <f aca="false">(Z87+Z44+SUM(Z61:Z68)+Z45+SUM(Z71:Z74))-(Z38+Z39+Z40)</f>
        <v>1.145</v>
      </c>
      <c r="AA89" s="351" t="n">
        <f aca="false">(AA87+AA44+SUM(AA61:AA68)+AA45+SUM(AA71:AA74))-(AA38+AA39+AA40)</f>
        <v>1.145</v>
      </c>
      <c r="AB89" s="351" t="n">
        <f aca="false">(AB87+AB44+SUM(AB61:AB68)+AB45+SUM(AB71:AB74))-(AB38+AB39+AB40)</f>
        <v>-0.18</v>
      </c>
      <c r="AC89" s="351" t="n">
        <f aca="false">(AC87+AC44+SUM(AC61:AC68)+AC45+SUM(AC71:AC74))-(AC38+AC39+AC40)</f>
        <v>0.920000000000002</v>
      </c>
      <c r="AD89" s="351" t="n">
        <f aca="false">(AD87+AD44+SUM(AD61:AD68)+AD45+SUM(AD71:AD74))-(AD38+AD39+AD40)</f>
        <v>2.5775</v>
      </c>
      <c r="AE89" s="351" t="n">
        <f aca="false">(AE87+AE44+SUM(AE61:AE68)+AE45+SUM(AE71:AE74))-(AE38+AE39+AE40)</f>
        <v>1.035</v>
      </c>
      <c r="AF89" s="351" t="n">
        <f aca="false">(AF87+AF44+SUM(AF61:AF68)+AF45+SUM(AF71:AF74))-(AF38+AF39+AF40)</f>
        <v>1.26</v>
      </c>
      <c r="AG89" s="351" t="n">
        <f aca="false">(AG87+AG44+SUM(AG61:AG68)+AG45+SUM(AG71:AG74))-(AG38+AG39+AG40)</f>
        <v>-0.0649999999999977</v>
      </c>
      <c r="AH89" s="351" t="n">
        <f aca="false">(AH87+AH44+SUM(AH61:AH68)+AH45+SUM(AH71:AH74))-(AH38+AH39+AH40)</f>
        <v>1.3675</v>
      </c>
      <c r="AI89" s="351" t="n">
        <f aca="false">(AI87+AI44+SUM(AI61:AI68)+AI45+SUM(AI71:AI74))-(AI38+AI39+AI40)</f>
        <v>1.25</v>
      </c>
      <c r="AJ89" s="351" t="n">
        <f aca="false">(AJ87+AJ44+SUM(AJ61:AJ68)+AJ45+SUM(AJ71:AJ74))-(AJ38+AJ39+AJ40)</f>
        <v>1.025</v>
      </c>
      <c r="AK89" s="351" t="n">
        <f aca="false">(AK87+AK44+SUM(AK61:AK68)+AK45+SUM(AK71:AK74))-(AK38+AK39+AK40)</f>
        <v>-0.300000000000001</v>
      </c>
      <c r="AL89" s="351" t="n">
        <f aca="false">(AL87+AL44+SUM(AL61:AL68)+AL45+SUM(AL71:AL74))-(AL38+AL39+AL40)</f>
        <v>1.3</v>
      </c>
      <c r="AM89" s="351" t="n">
        <f aca="false">(AM87+AM44+SUM(AM61:AM68)+AM45+SUM(AM71:AM74))-(AM38+AM39+AM40)</f>
        <v>0.199999999999999</v>
      </c>
      <c r="AN89" s="351" t="n">
        <f aca="false">(AN87+AN44+SUM(AN61:AN68)+AN45+SUM(AN71:AN74))-(AN38+AN39+AN40)</f>
        <v>-0.125</v>
      </c>
      <c r="AO89" s="351" t="n">
        <f aca="false">(AO87+AO44+SUM(AO61:AO68)+AO45+SUM(AO71:AO74))-(AO38+AO39+AO40)</f>
        <v>0.550000000000001</v>
      </c>
      <c r="AP89" s="351" t="n">
        <f aca="false">(AP87+AP44+SUM(AP61:AP68)+AP45+SUM(AP71:AP74))-(AP38+AP39+AP40)</f>
        <v>1.7</v>
      </c>
      <c r="AQ89" s="351" t="n">
        <f aca="false">(AQ87+AQ44+SUM(AQ61:AQ68)+AQ45+SUM(AQ71:AQ74))-(AQ38+AQ39+AQ40)</f>
        <v>1.475</v>
      </c>
      <c r="AR89" s="351" t="n">
        <f aca="false">(AR87+AR44+SUM(AR61:AR68)+AR45+SUM(AR71:AR74))-(AR38+AR39+AR40)</f>
        <v>1.7</v>
      </c>
      <c r="AS89" s="351" t="n">
        <f aca="false">(AS87+AS44+SUM(AS61:AS68)+AS45+SUM(AS71:AS74))-(AS38+AS39+AS40)</f>
        <v>2.2</v>
      </c>
      <c r="AT89" s="351" t="n">
        <f aca="false">(AT87+AT44+SUM(AT61:AT68)+AT45+SUM(AT71:AT74))-(AT38+AT39+AT40)</f>
        <v>2.7</v>
      </c>
      <c r="AU89" s="351" t="n">
        <f aca="false">(AU87+AU44+SUM(AU61:AU68)+AU45+SUM(AU71:AU74))-(AU38+AU39+AU40)</f>
        <v>1.375</v>
      </c>
      <c r="AV89" s="351" t="n">
        <f aca="false">(AV87+AV44+SUM(AV61:AV68)+AV45+SUM(AV71:AV74))-(AV38+AV39+AV40)</f>
        <v>1.15</v>
      </c>
      <c r="AW89" s="351" t="n">
        <f aca="false">(AW87+AW44+SUM(AW61:AW68)+AW45+SUM(AW71:AW74))-(AW38+AW39+AW40)</f>
        <v>2.75</v>
      </c>
      <c r="AX89" s="351" t="n">
        <f aca="false">(AX87+AX44+SUM(AX61:AX68)+AX45+SUM(AX71:AX74))-(AX38+AX39+AX40)</f>
        <v>3.35</v>
      </c>
      <c r="AY89" s="351" t="n">
        <f aca="false">(AY87+AY44+SUM(AY61:AY68)+AY45+SUM(AY71:AY74))-(AY38+AY39+AY40)</f>
        <v>3.575</v>
      </c>
      <c r="AZ89" s="351" t="n">
        <f aca="false">(AZ87+AZ44+SUM(AZ61:AZ68)+AZ45+SUM(AZ71:AZ74))-(AZ38+AZ39+AZ40)</f>
        <v>2.475</v>
      </c>
      <c r="BA89" s="351" t="n">
        <f aca="false">(BA87+BA44+SUM(BA61:BA68)+BA45+SUM(BA71:BA74))-(BA38+BA39+BA40)</f>
        <v>2.475</v>
      </c>
      <c r="BB89" s="351" t="n">
        <f aca="false">(BB87+BB44+SUM(BB61:BB68)+BB45+SUM(BB71:BB74))-(BB38+BB39+BB40)</f>
        <v>0.475000000000001</v>
      </c>
      <c r="BC89" s="351" t="n">
        <f aca="false">(BC87+BC44+SUM(BC61:BC68)+BC45+SUM(BC71:BC74))-(BC38+BC39+BC40)</f>
        <v>0.475000000000001</v>
      </c>
      <c r="BD89" s="351" t="n">
        <f aca="false">(BD87+BD44+SUM(BD61:BD68)+BD45+SUM(BD71:BD74))-(BD38+BD39+BD40)</f>
        <v>0.475000000000001</v>
      </c>
      <c r="BE89" s="351" t="n">
        <f aca="false">(BE87+BE44+SUM(BE61:BE68)+BE45+SUM(BE71:BE74))-(BE38+BE39+BE40)</f>
        <v>0.475000000000001</v>
      </c>
      <c r="BF89" s="351" t="n">
        <f aca="false">(BF87+BF44+SUM(BF61:BF68)+BF45+SUM(BF71:BF74))-(BF38+BF39+BF40)</f>
        <v>0.975000000000001</v>
      </c>
      <c r="BG89" s="351" t="n">
        <f aca="false">(BG87+BG44+SUM(BG61:BG68)+BG45+SUM(BG71:BG74))-(BG38+BG39+BG40)</f>
        <v>0.975000000000001</v>
      </c>
      <c r="BH89" s="351" t="n">
        <f aca="false">(BH87+BH44+SUM(BH61:BH68)+BH45+SUM(BH71:BH74))-(BH38+BH39+BH40)</f>
        <v>2.075</v>
      </c>
      <c r="BI89" s="351" t="n">
        <f aca="false">(BI87+BI44+SUM(BI61:BI68)+BI45+SUM(BI71:BI74))-(BI38+BI39+BI40)</f>
        <v>3.175</v>
      </c>
      <c r="BJ89" s="351" t="n">
        <f aca="false">(BJ87+BJ44+SUM(BJ61:BJ68)+BJ45+SUM(BJ71:BJ74))-(BJ38+BJ39+BJ40)</f>
        <v>5.65</v>
      </c>
      <c r="BK89" s="351" t="n">
        <f aca="false">(BK87+BK44+SUM(BK61:BK68)+BK45+SUM(BK71:BK74))-(BK38+BK39+BK40)</f>
        <v>5.975</v>
      </c>
      <c r="BL89" s="351" t="n">
        <f aca="false">(BL87+BL44+SUM(BL61:BL68)+BL45+SUM(BL71:BL74))-(BL38+BL39+BL40)</f>
        <v>6.2</v>
      </c>
      <c r="BM89" s="351" t="n">
        <f aca="false">(BM87+BM44+SUM(BM61:BM68)+BM45+SUM(BM71:BM74))-(BM38+BM39+BM40)</f>
        <v>5.2</v>
      </c>
      <c r="BN89" s="351" t="n">
        <f aca="false">(BN87+BN44+SUM(BN61:BN68)+BN45+SUM(BN71:BN74))-(BN38+BN39+BN40)</f>
        <v>5.2</v>
      </c>
      <c r="BO89" s="351" t="n">
        <f aca="false">(BO87+BO44+SUM(BO61:BO68)+BO45+SUM(BO71:BO74))-(BO38+BO39+BO40)</f>
        <v>4.3</v>
      </c>
      <c r="BP89" s="351" t="n">
        <f aca="false">(BP87+BP44+SUM(BP61:BP68)+BP45+SUM(BP71:BP74))-(BP38+BP39+BP40)</f>
        <v>4.625</v>
      </c>
      <c r="BQ89" s="351" t="n">
        <f aca="false">(BQ87+BQ44+SUM(BQ61:BQ68)+BQ45+SUM(BQ71:BQ74))-(BQ38+BQ39+BQ40)</f>
        <v>3.85</v>
      </c>
      <c r="BR89" s="351" t="n">
        <f aca="false">(BR87+BR44+SUM(BR61:BR68)+BR45+SUM(BR71:BR74))-(BR38+BR39+BR40)</f>
        <v>4.075</v>
      </c>
      <c r="BS89" s="351" t="n">
        <f aca="false">(BS87+BS44+SUM(BS61:BS68)+BS45+SUM(BS71:BS74))-(BS38+BS39+BS40)</f>
        <v>4.3</v>
      </c>
      <c r="BT89" s="351" t="n">
        <f aca="false">(BT87+BT44+SUM(BT61:BT68)+BT45+SUM(BT71:BT74))-(BT38+BT39+BT40)</f>
        <v>4.625</v>
      </c>
      <c r="BU89" s="351" t="n">
        <f aca="false">(BU87+BU44+SUM(BU61:BU68)+BU45+SUM(BU71:BU74))-(BU38+BU39+BU40)</f>
        <v>4.95</v>
      </c>
      <c r="BV89" s="351" t="n">
        <f aca="false">(BV87+BV44+SUM(BV61:BV68)+BV45+SUM(BV71:BV74))-(BV38+BV39+BV40)</f>
        <v>6.275</v>
      </c>
      <c r="BW89" s="351" t="n">
        <f aca="false">(BW87+BW44+SUM(BW61:BW68)+BW45+SUM(BW71:BW74))-(BW38+BW39+BW40)</f>
        <v>7.6</v>
      </c>
      <c r="BX89" s="351" t="n">
        <f aca="false">(BX87+BX44+SUM(BX61:BX68)+BX45+SUM(BX71:BX74))-(BX38+BX39+BX40)</f>
        <v>8.7</v>
      </c>
      <c r="BY89" s="351" t="n">
        <f aca="false">(BY87+BY44+SUM(BY61:BY68)+BY45+SUM(BY71:BY74))-(BY38+BY39+BY40)</f>
        <v>9.8</v>
      </c>
      <c r="BZ89" s="351" t="n">
        <f aca="false">(BZ87+BZ44+SUM(BZ61:BZ68)+BZ45+SUM(BZ71:BZ74))-(BZ38+BZ39+BZ40)</f>
        <v>10.9</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1215</v>
      </c>
      <c r="B91" s="210"/>
    </row>
    <row r="92" customFormat="false" ht="13.5" hidden="false" customHeight="true" outlineLevel="0" collapsed="false">
      <c r="A92" s="109" t="s">
        <v>1216</v>
      </c>
      <c r="B92" s="348" t="n">
        <v>1</v>
      </c>
    </row>
    <row r="93" customFormat="false" ht="13.5" hidden="false" customHeight="true" outlineLevel="0" collapsed="false">
      <c r="A93" s="109" t="s">
        <v>1217</v>
      </c>
      <c r="B93" s="348" t="n">
        <v>0.5</v>
      </c>
    </row>
    <row r="94" customFormat="false" ht="13.5" hidden="false" customHeight="true" outlineLevel="0" collapsed="false">
      <c r="A94" s="109" t="s">
        <v>1218</v>
      </c>
      <c r="B94" s="348" t="n">
        <v>0.33</v>
      </c>
    </row>
    <row r="96" customFormat="false" ht="13.5" hidden="false" customHeight="true" outlineLevel="0" collapsed="false">
      <c r="A96" s="1" t="s">
        <v>1219</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8.16</v>
      </c>
      <c r="AC96" s="1" t="n">
        <f aca="false">SUMPRODUCT((Projects!$G$2:$G$45="Yes")*(25&gt;=Projects!$C$2:$C$45-$B$15)*(25&lt;=Projects!$W$2:$W$45+$B$17)*((Projects!$B$2:$B$45&gt;=$B$12)*$B$92+(Projects!$B$2:$B$45&lt;$B$12)*(Projects!$B$2:$B$45&gt;=$B$13)*$B$93+(Projects!$B$2:$B$45&lt;$B$13)*$B$94))</f>
        <v>7.66</v>
      </c>
      <c r="AD96" s="1" t="n">
        <f aca="false">SUMPRODUCT((Projects!$G$2:$G$45="Yes")*(26&gt;=Projects!$C$2:$C$45-$B$15)*(26&lt;=Projects!$W$2:$W$45+$B$17)*((Projects!$B$2:$B$45&gt;=$B$12)*$B$92+(Projects!$B$2:$B$45&lt;$B$12)*(Projects!$B$2:$B$45&gt;=$B$13)*$B$93+(Projects!$B$2:$B$45&lt;$B$13)*$B$94))</f>
        <v>7.16</v>
      </c>
      <c r="AE96" s="1" t="n">
        <f aca="false">SUMPRODUCT((Projects!$G$2:$G$45="Yes")*(27&gt;=Projects!$C$2:$C$45-$B$15)*(27&lt;=Projects!$W$2:$W$45+$B$17)*((Projects!$B$2:$B$45&gt;=$B$12)*$B$92+(Projects!$B$2:$B$45&lt;$B$12)*(Projects!$B$2:$B$45&gt;=$B$13)*$B$93+(Projects!$B$2:$B$45&lt;$B$13)*$B$94))</f>
        <v>8.16</v>
      </c>
      <c r="AF96" s="1" t="n">
        <f aca="false">SUMPRODUCT((Projects!$G$2:$G$45="Yes")*(28&gt;=Projects!$C$2:$C$45-$B$15)*(28&lt;=Projects!$W$2:$W$45+$B$17)*((Projects!$B$2:$B$45&gt;=$B$12)*$B$92+(Projects!$B$2:$B$45&lt;$B$12)*(Projects!$B$2:$B$45&gt;=$B$13)*$B$93+(Projects!$B$2:$B$45&lt;$B$13)*$B$94))</f>
        <v>8.16</v>
      </c>
      <c r="AG96" s="1" t="n">
        <f aca="false">SUMPRODUCT((Projects!$G$2:$G$45="Yes")*(29&gt;=Projects!$C$2:$C$45-$B$15)*(29&lt;=Projects!$W$2:$W$45+$B$17)*((Projects!$B$2:$B$45&gt;=$B$12)*$B$92+(Projects!$B$2:$B$45&lt;$B$12)*(Projects!$B$2:$B$45&gt;=$B$13)*$B$93+(Projects!$B$2:$B$45&lt;$B$13)*$B$94))</f>
        <v>8.66</v>
      </c>
      <c r="AH96" s="1" t="n">
        <f aca="false">SUMPRODUCT((Projects!$G$2:$G$45="Yes")*(30&gt;=Projects!$C$2:$C$45-$B$15)*(30&lt;=Projects!$W$2:$W$45+$B$17)*((Projects!$B$2:$B$45&gt;=$B$12)*$B$92+(Projects!$B$2:$B$45&lt;$B$12)*(Projects!$B$2:$B$45&gt;=$B$13)*$B$93+(Projects!$B$2:$B$45&lt;$B$13)*$B$94))</f>
        <v>8.33</v>
      </c>
      <c r="AI96" s="1" t="n">
        <f aca="false">SUMPRODUCT((Projects!$G$2:$G$45="Yes")*(31&gt;=Projects!$C$2:$C$45-$B$15)*(31&lt;=Projects!$W$2:$W$45+$B$17)*((Projects!$B$2:$B$45&gt;=$B$12)*$B$92+(Projects!$B$2:$B$45&lt;$B$12)*(Projects!$B$2:$B$45&gt;=$B$13)*$B$93+(Projects!$B$2:$B$45&lt;$B$13)*$B$94))</f>
        <v>8.5</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9</v>
      </c>
      <c r="AN96" s="1" t="n">
        <f aca="false">SUMPRODUCT((Projects!$G$2:$G$45="Yes")*(36&gt;=Projects!$C$2:$C$45-$B$15)*(36&lt;=Projects!$W$2:$W$45+$B$17)*((Projects!$B$2:$B$45&gt;=$B$12)*$B$92+(Projects!$B$2:$B$45&lt;$B$12)*(Projects!$B$2:$B$45&gt;=$B$13)*$B$93+(Projects!$B$2:$B$45&lt;$B$13)*$B$94))</f>
        <v>9.5</v>
      </c>
      <c r="AO96" s="1" t="n">
        <f aca="false">SUMPRODUCT((Projects!$G$2:$G$45="Yes")*(37&gt;=Projects!$C$2:$C$45-$B$15)*(37&lt;=Projects!$W$2:$W$45+$B$17)*((Projects!$B$2:$B$45&gt;=$B$12)*$B$92+(Projects!$B$2:$B$45&lt;$B$12)*(Projects!$B$2:$B$45&gt;=$B$13)*$B$93+(Projects!$B$2:$B$45&lt;$B$13)*$B$94))</f>
        <v>10</v>
      </c>
      <c r="AP96" s="1" t="n">
        <f aca="false">SUMPRODUCT((Projects!$G$2:$G$45="Yes")*(38&gt;=Projects!$C$2:$C$45-$B$15)*(38&lt;=Projects!$W$2:$W$45+$B$17)*((Projects!$B$2:$B$45&gt;=$B$12)*$B$92+(Projects!$B$2:$B$45&lt;$B$12)*(Projects!$B$2:$B$45&gt;=$B$13)*$B$93+(Projects!$B$2:$B$45&lt;$B$13)*$B$94))</f>
        <v>9</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9.5</v>
      </c>
      <c r="AW96" s="1" t="n">
        <f aca="false">SUMPRODUCT((Projects!$G$2:$G$45="Yes")*(45&gt;=Projects!$C$2:$C$45-$B$15)*(45&lt;=Projects!$W$2:$W$45+$B$17)*((Projects!$B$2:$B$45&gt;=$B$12)*$B$92+(Projects!$B$2:$B$45&lt;$B$12)*(Projects!$B$2:$B$45&gt;=$B$13)*$B$93+(Projects!$B$2:$B$45&lt;$B$13)*$B$94))</f>
        <v>8.5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1220</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1221</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1</v>
      </c>
      <c r="AI99" s="352" t="n">
        <f aca="false">IF(31&lt;5,0,IF(MAX(AD96:AI96)&gt;AI97+0+$B$18,1,0))</f>
        <v>1</v>
      </c>
      <c r="AJ99" s="352" t="n">
        <f aca="false">IF(32&lt;5,0,IF(MAX(AE96:AJ96)&gt;AJ97+0+$B$18,1,0))</f>
        <v>1</v>
      </c>
      <c r="AK99" s="352" t="n">
        <f aca="false">IF(33&lt;5,0,IF(MAX(AF96:AK96)&gt;AK97+0+$B$18,1,0))</f>
        <v>1</v>
      </c>
      <c r="AL99" s="352" t="n">
        <f aca="false">IF(34&lt;5,0,IF(MAX(AG96:AL96)&gt;AL97+0+$B$18,1,0))</f>
        <v>1</v>
      </c>
      <c r="AM99" s="352" t="n">
        <f aca="false">IF(35&lt;5,0,IF(MAX(AH96:AM96)&gt;AM97+0+$B$18,1,0))</f>
        <v>1</v>
      </c>
      <c r="AN99" s="352" t="n">
        <f aca="false">IF(36&lt;5,0,IF(MAX(AI96:AN96)&gt;AN97+0+$B$18,1,0))</f>
        <v>1</v>
      </c>
      <c r="AO99" s="352" t="n">
        <f aca="false">IF(37&lt;5,0,IF(MAX(AJ96:AO96)&gt;AO97+0+$B$18,1,0))</f>
        <v>1</v>
      </c>
      <c r="AP99" s="352" t="n">
        <f aca="false">IF(38&lt;5,0,IF(MAX(AK96:AP96)&gt;AP97+0+$B$18,1,0))</f>
        <v>1</v>
      </c>
      <c r="AQ99" s="352" t="n">
        <f aca="false">IF(39&lt;5,0,IF(MAX(AL96:AQ96)&gt;AQ97+0+$B$18,1,0))</f>
        <v>1</v>
      </c>
      <c r="AR99" s="352" t="n">
        <f aca="false">IF(40&lt;5,0,IF(MAX(AM96:AR96)&gt;AR97+0+$B$18,1,0))</f>
        <v>1</v>
      </c>
      <c r="AS99" s="352" t="n">
        <f aca="false">IF(41&lt;5,0,IF(MAX(AN96:AS96)&gt;AS97+0+$B$18,1,0))</f>
        <v>1</v>
      </c>
      <c r="AT99" s="352" t="n">
        <f aca="false">IF(42&lt;5,0,IF(MAX(AO96:AT96)&gt;AT97+0+$B$18,1,0))</f>
        <v>1</v>
      </c>
      <c r="AU99" s="352" t="n">
        <f aca="false">IF(43&lt;5,0,IF(MAX(AP96:AU96)&gt;AU97+0+$B$18,1,0))</f>
        <v>1</v>
      </c>
      <c r="AV99" s="352" t="n">
        <f aca="false">IF(44&lt;5,0,IF(MAX(AQ96:AV96)&gt;AV97+0+$B$18,1,0))</f>
        <v>1</v>
      </c>
      <c r="AW99" s="352" t="n">
        <f aca="false">IF(45&lt;5,0,IF(MAX(AR96:AW96)&gt;AW97+0+$B$18,1,0))</f>
        <v>1</v>
      </c>
      <c r="AX99" s="352" t="n">
        <f aca="false">IF(46&lt;5,0,IF(MAX(AS96:AX96)&gt;AX97+0+$B$18,1,0))</f>
        <v>1</v>
      </c>
      <c r="AY99" s="352" t="n">
        <f aca="false">IF(47&lt;5,0,IF(MAX(AT96:AY96)&gt;AY97+0+$B$18,1,0))</f>
        <v>1</v>
      </c>
      <c r="AZ99" s="352" t="n">
        <f aca="false">IF(48&lt;5,0,IF(MAX(AU96:AZ96)&gt;AZ97+0+$B$18,1,0))</f>
        <v>1</v>
      </c>
      <c r="BA99" s="352" t="n">
        <f aca="false">IF(49&lt;5,0,IF(MAX(AV96:BA96)&gt;BA97+0+$B$18,1,0))</f>
        <v>1</v>
      </c>
      <c r="BB99" s="352" t="n">
        <f aca="false">IF(50&lt;5,0,IF(MAX(AW96:BB96)&gt;BB97+0+$B$18,1,0))</f>
        <v>1</v>
      </c>
      <c r="BC99" s="352" t="n">
        <f aca="false">IF(51&lt;5,0,IF(MAX(AX96:BC96)&gt;BC97+0+$B$18,1,0))</f>
        <v>1</v>
      </c>
      <c r="BD99" s="352" t="n">
        <f aca="false">IF(52&lt;5,0,IF(MAX(AY96:BD96)&gt;BD97+0+$B$18,1,0))</f>
        <v>1</v>
      </c>
      <c r="BE99" s="352" t="n">
        <f aca="false">IF(53&lt;5,0,IF(MAX(AZ96:BE96)&gt;BE97+0+$B$18,1,0))</f>
        <v>1</v>
      </c>
      <c r="BF99" s="352" t="n">
        <f aca="false">IF(54&lt;5,0,IF(MAX(BA96:BF96)&gt;BF97+0+$B$18,1,0))</f>
        <v>1</v>
      </c>
      <c r="BG99" s="352" t="n">
        <f aca="false">IF(55&lt;5,0,IF(MAX(BB96:BG96)&gt;BG97+0+$B$18,1,0))</f>
        <v>1</v>
      </c>
      <c r="BH99" s="352" t="n">
        <f aca="false">IF(56&lt;5,0,IF(MAX(BC96:BH96)&gt;BH97+0+$B$18,1,0))</f>
        <v>1</v>
      </c>
      <c r="BI99" s="352" t="n">
        <f aca="false">IF(57&lt;5,0,IF(MAX(BD96:BI96)&gt;BI97+0+$B$18,1,0))</f>
        <v>1</v>
      </c>
      <c r="BJ99" s="352" t="n">
        <f aca="false">IF(58&lt;5,0,IF(MAX(BE96:BJ96)&gt;BJ97+0+$B$18,1,0))</f>
        <v>1</v>
      </c>
      <c r="BK99" s="352" t="n">
        <f aca="false">IF(59&lt;5,0,IF(MAX(BF96:BK96)&gt;BK97+0+$B$18,1,0))</f>
        <v>1</v>
      </c>
      <c r="BL99" s="352" t="n">
        <f aca="false">IF(60&lt;5,0,IF(MAX(BG96:BL96)&gt;BL97+0+$B$18,1,0))</f>
        <v>1</v>
      </c>
      <c r="BM99" s="352" t="n">
        <f aca="false">IF(61&lt;5,0,IF(MAX(BH96:BM96)&gt;BM97+0+$B$18,1,0))</f>
        <v>1</v>
      </c>
      <c r="BN99" s="352" t="n">
        <f aca="false">IF(62&lt;5,0,IF(MAX(BI96:BN96)&gt;BN97+0+$B$18,1,0))</f>
        <v>1</v>
      </c>
      <c r="BO99" s="352" t="n">
        <f aca="false">IF(63&lt;5,0,IF(MAX(BJ96:BO96)&gt;BO97+0+$B$18,1,0))</f>
        <v>1</v>
      </c>
      <c r="BP99" s="352" t="n">
        <f aca="false">IF(64&lt;5,0,IF(MAX(BK96:BP96)&gt;BP97+0+$B$18,1,0))</f>
        <v>1</v>
      </c>
      <c r="BQ99" s="352" t="n">
        <f aca="false">IF(65&lt;5,0,IF(MAX(BL96:BQ96)&gt;BQ97+0+$B$18,1,0))</f>
        <v>1</v>
      </c>
      <c r="BR99" s="352" t="n">
        <f aca="false">IF(66&lt;5,0,IF(MAX(BM96:BR96)&gt;BR97+0+$B$18,1,0))</f>
        <v>1</v>
      </c>
      <c r="BS99" s="352" t="n">
        <f aca="false">IF(67&lt;5,0,IF(MAX(BN96:BS96)&gt;BS97+0+$B$18,1,0))</f>
        <v>1</v>
      </c>
      <c r="BT99" s="352" t="n">
        <f aca="false">IF(68&lt;5,0,IF(MAX(BO96:BT96)&gt;BT97+0+$B$18,1,0))</f>
        <v>1</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1222</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1</v>
      </c>
      <c r="AD100" s="352" t="n">
        <f aca="false">IF(26&lt;5,0,IF(MAX(Y96:AD96)&gt;AD97+1+$B$18,1,0))</f>
        <v>1</v>
      </c>
      <c r="AE100" s="352" t="n">
        <f aca="false">IF(27&lt;5,0,IF(MAX(Z96:AE96)&gt;AE97+1+$B$18,1,0))</f>
        <v>1</v>
      </c>
      <c r="AF100" s="352" t="n">
        <f aca="false">IF(28&lt;5,0,IF(MAX(AA96:AF96)&gt;AF97+1+$B$18,1,0))</f>
        <v>1</v>
      </c>
      <c r="AG100" s="352" t="n">
        <f aca="false">IF(29&lt;5,0,IF(MAX(AB96:AG96)&gt;AG97+1+$B$18,1,0))</f>
        <v>1</v>
      </c>
      <c r="AH100" s="352" t="n">
        <f aca="false">IF(30&lt;5,0,IF(MAX(AC96:AH96)&gt;AH97+1+$B$18,1,0))</f>
        <v>1</v>
      </c>
      <c r="AI100" s="352" t="n">
        <f aca="false">IF(31&lt;5,0,IF(MAX(AD96:AI96)&gt;AI97+1+$B$18,1,0))</f>
        <v>1</v>
      </c>
      <c r="AJ100" s="352" t="n">
        <f aca="false">IF(32&lt;5,0,IF(MAX(AE96:AJ96)&gt;AJ97+1+$B$18,1,0))</f>
        <v>1</v>
      </c>
      <c r="AK100" s="352" t="n">
        <f aca="false">IF(33&lt;5,0,IF(MAX(AF96:AK96)&gt;AK97+1+$B$18,1,0))</f>
        <v>1</v>
      </c>
      <c r="AL100" s="352" t="n">
        <f aca="false">IF(34&lt;5,0,IF(MAX(AG96:AL96)&gt;AL97+1+$B$18,1,0))</f>
        <v>1</v>
      </c>
      <c r="AM100" s="352" t="n">
        <f aca="false">IF(35&lt;5,0,IF(MAX(AH96:AM96)&gt;AM97+1+$B$18,1,0))</f>
        <v>1</v>
      </c>
      <c r="AN100" s="352" t="n">
        <f aca="false">IF(36&lt;5,0,IF(MAX(AI96:AN96)&gt;AN97+1+$B$18,1,0))</f>
        <v>1</v>
      </c>
      <c r="AO100" s="352" t="n">
        <f aca="false">IF(37&lt;5,0,IF(MAX(AJ96:AO96)&gt;AO97+1+$B$18,1,0))</f>
        <v>1</v>
      </c>
      <c r="AP100" s="352" t="n">
        <f aca="false">IF(38&lt;5,0,IF(MAX(AK96:AP96)&gt;AP97+1+$B$18,1,0))</f>
        <v>1</v>
      </c>
      <c r="AQ100" s="352" t="n">
        <f aca="false">IF(39&lt;5,0,IF(MAX(AL96:AQ96)&gt;AQ97+1+$B$18,1,0))</f>
        <v>1</v>
      </c>
      <c r="AR100" s="352" t="n">
        <f aca="false">IF(40&lt;5,0,IF(MAX(AM96:AR96)&gt;AR97+1+$B$18,1,0))</f>
        <v>1</v>
      </c>
      <c r="AS100" s="352" t="n">
        <f aca="false">IF(41&lt;5,0,IF(MAX(AN96:AS96)&gt;AS97+1+$B$18,1,0))</f>
        <v>1</v>
      </c>
      <c r="AT100" s="352" t="n">
        <f aca="false">IF(42&lt;5,0,IF(MAX(AO96:AT96)&gt;AT97+1+$B$18,1,0))</f>
        <v>1</v>
      </c>
      <c r="AU100" s="352" t="n">
        <f aca="false">IF(43&lt;5,0,IF(MAX(AP96:AU96)&gt;AU97+1+$B$18,1,0))</f>
        <v>1</v>
      </c>
      <c r="AV100" s="352" t="n">
        <f aca="false">IF(44&lt;5,0,IF(MAX(AQ96:AV96)&gt;AV97+1+$B$18,1,0))</f>
        <v>1</v>
      </c>
      <c r="AW100" s="352" t="n">
        <f aca="false">IF(45&lt;5,0,IF(MAX(AR96:AW96)&gt;AW97+1+$B$18,1,0))</f>
        <v>1</v>
      </c>
      <c r="AX100" s="352" t="n">
        <f aca="false">IF(46&lt;5,0,IF(MAX(AS96:AX96)&gt;AX97+1+$B$18,1,0))</f>
        <v>1</v>
      </c>
      <c r="AY100" s="352" t="n">
        <f aca="false">IF(47&lt;5,0,IF(MAX(AT96:AY96)&gt;AY97+1+$B$18,1,0))</f>
        <v>1</v>
      </c>
      <c r="AZ100" s="352" t="n">
        <f aca="false">IF(48&lt;5,0,IF(MAX(AU96:AZ96)&gt;AZ97+1+$B$18,1,0))</f>
        <v>1</v>
      </c>
      <c r="BA100" s="352" t="n">
        <f aca="false">IF(49&lt;5,0,IF(MAX(AV96:BA96)&gt;BA97+1+$B$18,1,0))</f>
        <v>1</v>
      </c>
      <c r="BB100" s="352" t="n">
        <f aca="false">IF(50&lt;5,0,IF(MAX(AW96:BB96)&gt;BB97+1+$B$18,1,0))</f>
        <v>1</v>
      </c>
      <c r="BC100" s="352" t="n">
        <f aca="false">IF(51&lt;5,0,IF(MAX(AX96:BC96)&gt;BC97+1+$B$18,1,0))</f>
        <v>1</v>
      </c>
      <c r="BD100" s="352" t="n">
        <f aca="false">IF(52&lt;5,0,IF(MAX(AY96:BD96)&gt;BD97+1+$B$18,1,0))</f>
        <v>1</v>
      </c>
      <c r="BE100" s="352" t="n">
        <f aca="false">IF(53&lt;5,0,IF(MAX(AZ96:BE96)&gt;BE97+1+$B$18,1,0))</f>
        <v>1</v>
      </c>
      <c r="BF100" s="352" t="n">
        <f aca="false">IF(54&lt;5,0,IF(MAX(BA96:BF96)&gt;BF97+1+$B$18,1,0))</f>
        <v>1</v>
      </c>
      <c r="BG100" s="352" t="n">
        <f aca="false">IF(55&lt;5,0,IF(MAX(BB96:BG96)&gt;BG97+1+$B$18,1,0))</f>
        <v>1</v>
      </c>
      <c r="BH100" s="352" t="n">
        <f aca="false">IF(56&lt;5,0,IF(MAX(BC96:BH96)&gt;BH97+1+$B$18,1,0))</f>
        <v>1</v>
      </c>
      <c r="BI100" s="352" t="n">
        <f aca="false">IF(57&lt;5,0,IF(MAX(BD96:BI96)&gt;BI97+1+$B$18,1,0))</f>
        <v>1</v>
      </c>
      <c r="BJ100" s="352" t="n">
        <f aca="false">IF(58&lt;5,0,IF(MAX(BE96:BJ96)&gt;BJ97+1+$B$18,1,0))</f>
        <v>1</v>
      </c>
      <c r="BK100" s="352" t="n">
        <f aca="false">IF(59&lt;5,0,IF(MAX(BF96:BK96)&gt;BK97+1+$B$18,1,0))</f>
        <v>1</v>
      </c>
      <c r="BL100" s="352" t="n">
        <f aca="false">IF(60&lt;5,0,IF(MAX(BG96:BL96)&gt;BL97+1+$B$18,1,0))</f>
        <v>1</v>
      </c>
      <c r="BM100" s="352" t="n">
        <f aca="false">IF(61&lt;5,0,IF(MAX(BH96:BM96)&gt;BM97+1+$B$18,1,0))</f>
        <v>1</v>
      </c>
      <c r="BN100" s="352" t="n">
        <f aca="false">IF(62&lt;5,0,IF(MAX(BI96:BN96)&gt;BN97+1+$B$18,1,0))</f>
        <v>1</v>
      </c>
      <c r="BO100" s="352" t="n">
        <f aca="false">IF(63&lt;5,0,IF(MAX(BJ96:BO96)&gt;BO97+1+$B$18,1,0))</f>
        <v>1</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1223</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1</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1</v>
      </c>
      <c r="AA101" s="352" t="n">
        <f aca="false">IF(23&lt;5,0,IF(MAX(V96:AA96)&gt;AA97+2+$B$18,1,0))</f>
        <v>1</v>
      </c>
      <c r="AB101" s="352" t="n">
        <f aca="false">IF(24&lt;5,0,IF(MAX(W96:AB96)&gt;AB97+2+$B$18,1,0))</f>
        <v>1</v>
      </c>
      <c r="AC101" s="352" t="n">
        <f aca="false">IF(25&lt;5,0,IF(MAX(X96:AC96)&gt;AC97+2+$B$18,1,0))</f>
        <v>1</v>
      </c>
      <c r="AD101" s="352" t="n">
        <f aca="false">IF(26&lt;5,0,IF(MAX(Y96:AD96)&gt;AD97+2+$B$18,1,0))</f>
        <v>1</v>
      </c>
      <c r="AE101" s="352" t="n">
        <f aca="false">IF(27&lt;5,0,IF(MAX(Z96:AE96)&gt;AE97+2+$B$18,1,0))</f>
        <v>1</v>
      </c>
      <c r="AF101" s="352" t="n">
        <f aca="false">IF(28&lt;5,0,IF(MAX(AA96:AF96)&gt;AF97+2+$B$18,1,0))</f>
        <v>1</v>
      </c>
      <c r="AG101" s="352" t="n">
        <f aca="false">IF(29&lt;5,0,IF(MAX(AB96:AG96)&gt;AG97+2+$B$18,1,0))</f>
        <v>1</v>
      </c>
      <c r="AH101" s="352" t="n">
        <f aca="false">IF(30&lt;5,0,IF(MAX(AC96:AH96)&gt;AH97+2+$B$18,1,0))</f>
        <v>1</v>
      </c>
      <c r="AI101" s="352" t="n">
        <f aca="false">IF(31&lt;5,0,IF(MAX(AD96:AI96)&gt;AI97+2+$B$18,1,0))</f>
        <v>1</v>
      </c>
      <c r="AJ101" s="352" t="n">
        <f aca="false">IF(32&lt;5,0,IF(MAX(AE96:AJ96)&gt;AJ97+2+$B$18,1,0))</f>
        <v>1</v>
      </c>
      <c r="AK101" s="352" t="n">
        <f aca="false">IF(33&lt;5,0,IF(MAX(AF96:AK96)&gt;AK97+2+$B$18,1,0))</f>
        <v>1</v>
      </c>
      <c r="AL101" s="352" t="n">
        <f aca="false">IF(34&lt;5,0,IF(MAX(AG96:AL96)&gt;AL97+2+$B$18,1,0))</f>
        <v>1</v>
      </c>
      <c r="AM101" s="352" t="n">
        <f aca="false">IF(35&lt;5,0,IF(MAX(AH96:AM96)&gt;AM97+2+$B$18,1,0))</f>
        <v>1</v>
      </c>
      <c r="AN101" s="352" t="n">
        <f aca="false">IF(36&lt;5,0,IF(MAX(AI96:AN96)&gt;AN97+2+$B$18,1,0))</f>
        <v>1</v>
      </c>
      <c r="AO101" s="352" t="n">
        <f aca="false">IF(37&lt;5,0,IF(MAX(AJ96:AO96)&gt;AO97+2+$B$18,1,0))</f>
        <v>1</v>
      </c>
      <c r="AP101" s="352" t="n">
        <f aca="false">IF(38&lt;5,0,IF(MAX(AK96:AP96)&gt;AP97+2+$B$18,1,0))</f>
        <v>1</v>
      </c>
      <c r="AQ101" s="352" t="n">
        <f aca="false">IF(39&lt;5,0,IF(MAX(AL96:AQ96)&gt;AQ97+2+$B$18,1,0))</f>
        <v>1</v>
      </c>
      <c r="AR101" s="352" t="n">
        <f aca="false">IF(40&lt;5,0,IF(MAX(AM96:AR96)&gt;AR97+2+$B$18,1,0))</f>
        <v>1</v>
      </c>
      <c r="AS101" s="352" t="n">
        <f aca="false">IF(41&lt;5,0,IF(MAX(AN96:AS96)&gt;AS97+2+$B$18,1,0))</f>
        <v>1</v>
      </c>
      <c r="AT101" s="352" t="n">
        <f aca="false">IF(42&lt;5,0,IF(MAX(AO96:AT96)&gt;AT97+2+$B$18,1,0))</f>
        <v>1</v>
      </c>
      <c r="AU101" s="352" t="n">
        <f aca="false">IF(43&lt;5,0,IF(MAX(AP96:AU96)&gt;AU97+2+$B$18,1,0))</f>
        <v>1</v>
      </c>
      <c r="AV101" s="352" t="n">
        <f aca="false">IF(44&lt;5,0,IF(MAX(AQ96:AV96)&gt;AV97+2+$B$18,1,0))</f>
        <v>1</v>
      </c>
      <c r="AW101" s="352" t="n">
        <f aca="false">IF(45&lt;5,0,IF(MAX(AR96:AW96)&gt;AW97+2+$B$18,1,0))</f>
        <v>1</v>
      </c>
      <c r="AX101" s="352" t="n">
        <f aca="false">IF(46&lt;5,0,IF(MAX(AS96:AX96)&gt;AX97+2+$B$18,1,0))</f>
        <v>1</v>
      </c>
      <c r="AY101" s="352" t="n">
        <f aca="false">IF(47&lt;5,0,IF(MAX(AT96:AY96)&gt;AY97+2+$B$18,1,0))</f>
        <v>1</v>
      </c>
      <c r="AZ101" s="352" t="n">
        <f aca="false">IF(48&lt;5,0,IF(MAX(AU96:AZ96)&gt;AZ97+2+$B$18,1,0))</f>
        <v>1</v>
      </c>
      <c r="BA101" s="352" t="n">
        <f aca="false">IF(49&lt;5,0,IF(MAX(AV96:BA96)&gt;BA97+2+$B$18,1,0))</f>
        <v>1</v>
      </c>
      <c r="BB101" s="352" t="n">
        <f aca="false">IF(50&lt;5,0,IF(MAX(AW96:BB96)&gt;BB97+2+$B$18,1,0))</f>
        <v>1</v>
      </c>
      <c r="BC101" s="352" t="n">
        <f aca="false">IF(51&lt;5,0,IF(MAX(AX96:BC96)&gt;BC97+2+$B$18,1,0))</f>
        <v>1</v>
      </c>
      <c r="BD101" s="352" t="n">
        <f aca="false">IF(52&lt;5,0,IF(MAX(AY96:BD96)&gt;BD97+2+$B$18,1,0))</f>
        <v>1</v>
      </c>
      <c r="BE101" s="352" t="n">
        <f aca="false">IF(53&lt;5,0,IF(MAX(AZ96:BE96)&gt;BE97+2+$B$18,1,0))</f>
        <v>1</v>
      </c>
      <c r="BF101" s="352" t="n">
        <f aca="false">IF(54&lt;5,0,IF(MAX(BA96:BF96)&gt;BF97+2+$B$18,1,0))</f>
        <v>1</v>
      </c>
      <c r="BG101" s="352" t="n">
        <f aca="false">IF(55&lt;5,0,IF(MAX(BB96:BG96)&gt;BG97+2+$B$18,1,0))</f>
        <v>1</v>
      </c>
      <c r="BH101" s="352" t="n">
        <f aca="false">IF(56&lt;5,0,IF(MAX(BC96:BH96)&gt;BH97+2+$B$18,1,0))</f>
        <v>1</v>
      </c>
      <c r="BI101" s="352" t="n">
        <f aca="false">IF(57&lt;5,0,IF(MAX(BD96:BI96)&gt;BI97+2+$B$18,1,0))</f>
        <v>1</v>
      </c>
      <c r="BJ101" s="352" t="n">
        <f aca="false">IF(58&lt;5,0,IF(MAX(BE96:BJ96)&gt;BJ97+2+$B$18,1,0))</f>
        <v>1</v>
      </c>
      <c r="BK101" s="352" t="n">
        <f aca="false">IF(59&lt;5,0,IF(MAX(BF96:BK96)&gt;BK97+2+$B$18,1,0))</f>
        <v>1</v>
      </c>
      <c r="BL101" s="352" t="n">
        <f aca="false">IF(60&lt;5,0,IF(MAX(BG96:BL96)&gt;BL97+2+$B$18,1,0))</f>
        <v>1</v>
      </c>
      <c r="BM101" s="352" t="n">
        <f aca="false">IF(61&lt;5,0,IF(MAX(BH96:BM96)&gt;BM97+2+$B$18,1,0))</f>
        <v>1</v>
      </c>
      <c r="BN101" s="352" t="n">
        <f aca="false">IF(62&lt;5,0,IF(MAX(BI96:BN96)&gt;BN97+2+$B$18,1,0))</f>
        <v>1</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1224</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1</v>
      </c>
      <c r="T102" s="352" t="n">
        <f aca="false">IF(16&lt;5,0,IF(MAX(O96:T96)&gt;T97+3+$B$18,1,0))</f>
        <v>1</v>
      </c>
      <c r="U102" s="352" t="n">
        <f aca="false">IF(17&lt;5,0,IF(MAX(P96:U96)&gt;U97+3+$B$18,1,0))</f>
        <v>1</v>
      </c>
      <c r="V102" s="352" t="n">
        <f aca="false">IF(18&lt;5,0,IF(MAX(Q96:V96)&gt;V97+3+$B$18,1,0))</f>
        <v>1</v>
      </c>
      <c r="W102" s="352" t="n">
        <f aca="false">IF(19&lt;5,0,IF(MAX(R96:W96)&gt;W97+3+$B$18,1,0))</f>
        <v>1</v>
      </c>
      <c r="X102" s="352" t="n">
        <f aca="false">IF(20&lt;5,0,IF(MAX(S96:X96)&gt;X97+3+$B$18,1,0))</f>
        <v>1</v>
      </c>
      <c r="Y102" s="352" t="n">
        <f aca="false">IF(21&lt;5,0,IF(MAX(T96:Y96)&gt;Y97+3+$B$18,1,0))</f>
        <v>1</v>
      </c>
      <c r="Z102" s="352" t="n">
        <f aca="false">IF(22&lt;5,0,IF(MAX(U96:Z96)&gt;Z97+3+$B$18,1,0))</f>
        <v>1</v>
      </c>
      <c r="AA102" s="352" t="n">
        <f aca="false">IF(23&lt;5,0,IF(MAX(V96:AA96)&gt;AA97+3+$B$18,1,0))</f>
        <v>1</v>
      </c>
      <c r="AB102" s="352" t="n">
        <f aca="false">IF(24&lt;5,0,IF(MAX(W96:AB96)&gt;AB97+3+$B$18,1,0))</f>
        <v>1</v>
      </c>
      <c r="AC102" s="352" t="n">
        <f aca="false">IF(25&lt;5,0,IF(MAX(X96:AC96)&gt;AC97+3+$B$18,1,0))</f>
        <v>1</v>
      </c>
      <c r="AD102" s="352" t="n">
        <f aca="false">IF(26&lt;5,0,IF(MAX(Y96:AD96)&gt;AD97+3+$B$18,1,0))</f>
        <v>1</v>
      </c>
      <c r="AE102" s="352" t="n">
        <f aca="false">IF(27&lt;5,0,IF(MAX(Z96:AE96)&gt;AE97+3+$B$18,1,0))</f>
        <v>1</v>
      </c>
      <c r="AF102" s="352" t="n">
        <f aca="false">IF(28&lt;5,0,IF(MAX(AA96:AF96)&gt;AF97+3+$B$18,1,0))</f>
        <v>1</v>
      </c>
      <c r="AG102" s="352" t="n">
        <f aca="false">IF(29&lt;5,0,IF(MAX(AB96:AG96)&gt;AG97+3+$B$18,1,0))</f>
        <v>1</v>
      </c>
      <c r="AH102" s="352" t="n">
        <f aca="false">IF(30&lt;5,0,IF(MAX(AC96:AH96)&gt;AH97+3+$B$18,1,0))</f>
        <v>1</v>
      </c>
      <c r="AI102" s="352" t="n">
        <f aca="false">IF(31&lt;5,0,IF(MAX(AD96:AI96)&gt;AI97+3+$B$18,1,0))</f>
        <v>1</v>
      </c>
      <c r="AJ102" s="352" t="n">
        <f aca="false">IF(32&lt;5,0,IF(MAX(AE96:AJ96)&gt;AJ97+3+$B$18,1,0))</f>
        <v>1</v>
      </c>
      <c r="AK102" s="352" t="n">
        <f aca="false">IF(33&lt;5,0,IF(MAX(AF96:AK96)&gt;AK97+3+$B$18,1,0))</f>
        <v>1</v>
      </c>
      <c r="AL102" s="352" t="n">
        <f aca="false">IF(34&lt;5,0,IF(MAX(AG96:AL96)&gt;AL97+3+$B$18,1,0))</f>
        <v>1</v>
      </c>
      <c r="AM102" s="352" t="n">
        <f aca="false">IF(35&lt;5,0,IF(MAX(AH96:AM96)&gt;AM97+3+$B$18,1,0))</f>
        <v>1</v>
      </c>
      <c r="AN102" s="352" t="n">
        <f aca="false">IF(36&lt;5,0,IF(MAX(AI96:AN96)&gt;AN97+3+$B$18,1,0))</f>
        <v>1</v>
      </c>
      <c r="AO102" s="352" t="n">
        <f aca="false">IF(37&lt;5,0,IF(MAX(AJ96:AO96)&gt;AO97+3+$B$18,1,0))</f>
        <v>1</v>
      </c>
      <c r="AP102" s="352" t="n">
        <f aca="false">IF(38&lt;5,0,IF(MAX(AK96:AP96)&gt;AP97+3+$B$18,1,0))</f>
        <v>1</v>
      </c>
      <c r="AQ102" s="352" t="n">
        <f aca="false">IF(39&lt;5,0,IF(MAX(AL96:AQ96)&gt;AQ97+3+$B$18,1,0))</f>
        <v>1</v>
      </c>
      <c r="AR102" s="352" t="n">
        <f aca="false">IF(40&lt;5,0,IF(MAX(AM96:AR96)&gt;AR97+3+$B$18,1,0))</f>
        <v>1</v>
      </c>
      <c r="AS102" s="352" t="n">
        <f aca="false">IF(41&lt;5,0,IF(MAX(AN96:AS96)&gt;AS97+3+$B$18,1,0))</f>
        <v>1</v>
      </c>
      <c r="AT102" s="352" t="n">
        <f aca="false">IF(42&lt;5,0,IF(MAX(AO96:AT96)&gt;AT97+3+$B$18,1,0))</f>
        <v>1</v>
      </c>
      <c r="AU102" s="352" t="n">
        <f aca="false">IF(43&lt;5,0,IF(MAX(AP96:AU96)&gt;AU97+3+$B$18,1,0))</f>
        <v>1</v>
      </c>
      <c r="AV102" s="352" t="n">
        <f aca="false">IF(44&lt;5,0,IF(MAX(AQ96:AV96)&gt;AV97+3+$B$18,1,0))</f>
        <v>1</v>
      </c>
      <c r="AW102" s="352" t="n">
        <f aca="false">IF(45&lt;5,0,IF(MAX(AR96:AW96)&gt;AW97+3+$B$18,1,0))</f>
        <v>1</v>
      </c>
      <c r="AX102" s="352" t="n">
        <f aca="false">IF(46&lt;5,0,IF(MAX(AS96:AX96)&gt;AX97+3+$B$18,1,0))</f>
        <v>1</v>
      </c>
      <c r="AY102" s="352" t="n">
        <f aca="false">IF(47&lt;5,0,IF(MAX(AT96:AY96)&gt;AY97+3+$B$18,1,0))</f>
        <v>1</v>
      </c>
      <c r="AZ102" s="352" t="n">
        <f aca="false">IF(48&lt;5,0,IF(MAX(AU96:AZ96)&gt;AZ97+3+$B$18,1,0))</f>
        <v>1</v>
      </c>
      <c r="BA102" s="352" t="n">
        <f aca="false">IF(49&lt;5,0,IF(MAX(AV96:BA96)&gt;BA97+3+$B$18,1,0))</f>
        <v>1</v>
      </c>
      <c r="BB102" s="352" t="n">
        <f aca="false">IF(50&lt;5,0,IF(MAX(AW96:BB96)&gt;BB97+3+$B$18,1,0))</f>
        <v>1</v>
      </c>
      <c r="BC102" s="352" t="n">
        <f aca="false">IF(51&lt;5,0,IF(MAX(AX96:BC96)&gt;BC97+3+$B$18,1,0))</f>
        <v>1</v>
      </c>
      <c r="BD102" s="352" t="n">
        <f aca="false">IF(52&lt;5,0,IF(MAX(AY96:BD96)&gt;BD97+3+$B$18,1,0))</f>
        <v>1</v>
      </c>
      <c r="BE102" s="352" t="n">
        <f aca="false">IF(53&lt;5,0,IF(MAX(AZ96:BE96)&gt;BE97+3+$B$18,1,0))</f>
        <v>1</v>
      </c>
      <c r="BF102" s="352" t="n">
        <f aca="false">IF(54&lt;5,0,IF(MAX(BA96:BF96)&gt;BF97+3+$B$18,1,0))</f>
        <v>1</v>
      </c>
      <c r="BG102" s="352" t="n">
        <f aca="false">IF(55&lt;5,0,IF(MAX(BB96:BG96)&gt;BG97+3+$B$18,1,0))</f>
        <v>1</v>
      </c>
      <c r="BH102" s="352" t="n">
        <f aca="false">IF(56&lt;5,0,IF(MAX(BC96:BH96)&gt;BH97+3+$B$18,1,0))</f>
        <v>1</v>
      </c>
      <c r="BI102" s="352" t="n">
        <f aca="false">IF(57&lt;5,0,IF(MAX(BD96:BI96)&gt;BI97+3+$B$18,1,0))</f>
        <v>1</v>
      </c>
      <c r="BJ102" s="352" t="n">
        <f aca="false">IF(58&lt;5,0,IF(MAX(BE96:BJ96)&gt;BJ97+3+$B$18,1,0))</f>
        <v>1</v>
      </c>
      <c r="BK102" s="352" t="n">
        <f aca="false">IF(59&lt;5,0,IF(MAX(BF96:BK96)&gt;BK97+3+$B$18,1,0))</f>
        <v>1</v>
      </c>
      <c r="BL102" s="352" t="n">
        <f aca="false">IF(60&lt;5,0,IF(MAX(BG96:BL96)&gt;BL97+3+$B$18,1,0))</f>
        <v>1</v>
      </c>
      <c r="BM102" s="352" t="n">
        <f aca="false">IF(61&lt;5,0,IF(MAX(BH96:BM96)&gt;BM97+3+$B$18,1,0))</f>
        <v>1</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1225</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1</v>
      </c>
      <c r="AH103" s="352" t="n">
        <f aca="false">IF(30&lt;5,0,IF(MAX(AC96:AH96)&gt;AH97+4+$B$18,1,0))</f>
        <v>1</v>
      </c>
      <c r="AI103" s="352" t="n">
        <f aca="false">IF(31&lt;5,0,IF(MAX(AD96:AI96)&gt;AI97+4+$B$18,1,0))</f>
        <v>1</v>
      </c>
      <c r="AJ103" s="352" t="n">
        <f aca="false">IF(32&lt;5,0,IF(MAX(AE96:AJ96)&gt;AJ97+4+$B$18,1,0))</f>
        <v>1</v>
      </c>
      <c r="AK103" s="352" t="n">
        <f aca="false">IF(33&lt;5,0,IF(MAX(AF96:AK96)&gt;AK97+4+$B$18,1,0))</f>
        <v>1</v>
      </c>
      <c r="AL103" s="352" t="n">
        <f aca="false">IF(34&lt;5,0,IF(MAX(AG96:AL96)&gt;AL97+4+$B$18,1,0))</f>
        <v>1</v>
      </c>
      <c r="AM103" s="352" t="n">
        <f aca="false">IF(35&lt;5,0,IF(MAX(AH96:AM96)&gt;AM97+4+$B$18,1,0))</f>
        <v>1</v>
      </c>
      <c r="AN103" s="352" t="n">
        <f aca="false">IF(36&lt;5,0,IF(MAX(AI96:AN96)&gt;AN97+4+$B$18,1,0))</f>
        <v>1</v>
      </c>
      <c r="AO103" s="352" t="n">
        <f aca="false">IF(37&lt;5,0,IF(MAX(AJ96:AO96)&gt;AO97+4+$B$18,1,0))</f>
        <v>1</v>
      </c>
      <c r="AP103" s="352" t="n">
        <f aca="false">IF(38&lt;5,0,IF(MAX(AK96:AP96)&gt;AP97+4+$B$18,1,0))</f>
        <v>1</v>
      </c>
      <c r="AQ103" s="352" t="n">
        <f aca="false">IF(39&lt;5,0,IF(MAX(AL96:AQ96)&gt;AQ97+4+$B$18,1,0))</f>
        <v>1</v>
      </c>
      <c r="AR103" s="352" t="n">
        <f aca="false">IF(40&lt;5,0,IF(MAX(AM96:AR96)&gt;AR97+4+$B$18,1,0))</f>
        <v>1</v>
      </c>
      <c r="AS103" s="352" t="n">
        <f aca="false">IF(41&lt;5,0,IF(MAX(AN96:AS96)&gt;AS97+4+$B$18,1,0))</f>
        <v>1</v>
      </c>
      <c r="AT103" s="352" t="n">
        <f aca="false">IF(42&lt;5,0,IF(MAX(AO96:AT96)&gt;AT97+4+$B$18,1,0))</f>
        <v>1</v>
      </c>
      <c r="AU103" s="352" t="n">
        <f aca="false">IF(43&lt;5,0,IF(MAX(AP96:AU96)&gt;AU97+4+$B$18,1,0))</f>
        <v>1</v>
      </c>
      <c r="AV103" s="352" t="n">
        <f aca="false">IF(44&lt;5,0,IF(MAX(AQ96:AV96)&gt;AV97+4+$B$18,1,0))</f>
        <v>1</v>
      </c>
      <c r="AW103" s="352" t="n">
        <f aca="false">IF(45&lt;5,0,IF(MAX(AR96:AW96)&gt;AW97+4+$B$18,1,0))</f>
        <v>1</v>
      </c>
      <c r="AX103" s="352" t="n">
        <f aca="false">IF(46&lt;5,0,IF(MAX(AS96:AX96)&gt;AX97+4+$B$18,1,0))</f>
        <v>1</v>
      </c>
      <c r="AY103" s="352" t="n">
        <f aca="false">IF(47&lt;5,0,IF(MAX(AT96:AY96)&gt;AY97+4+$B$18,1,0))</f>
        <v>1</v>
      </c>
      <c r="AZ103" s="352" t="n">
        <f aca="false">IF(48&lt;5,0,IF(MAX(AU96:AZ96)&gt;AZ97+4+$B$18,1,0))</f>
        <v>1</v>
      </c>
      <c r="BA103" s="352" t="n">
        <f aca="false">IF(49&lt;5,0,IF(MAX(AV96:BA96)&gt;BA97+4+$B$18,1,0))</f>
        <v>1</v>
      </c>
      <c r="BB103" s="352" t="n">
        <f aca="false">IF(50&lt;5,0,IF(MAX(AW96:BB96)&gt;BB97+4+$B$18,1,0))</f>
        <v>1</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1226</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1</v>
      </c>
      <c r="AO104" s="352" t="n">
        <f aca="false">IF(37&lt;5,0,IF(MAX(AJ96:AO96)&gt;AO97+5+$B$18,1,0))</f>
        <v>1</v>
      </c>
      <c r="AP104" s="352" t="n">
        <f aca="false">IF(38&lt;5,0,IF(MAX(AK96:AP96)&gt;AP97+5+$B$18,1,0))</f>
        <v>1</v>
      </c>
      <c r="AQ104" s="352" t="n">
        <f aca="false">IF(39&lt;5,0,IF(MAX(AL96:AQ96)&gt;AQ97+5+$B$18,1,0))</f>
        <v>1</v>
      </c>
      <c r="AR104" s="352" t="n">
        <f aca="false">IF(40&lt;5,0,IF(MAX(AM96:AR96)&gt;AR97+5+$B$18,1,0))</f>
        <v>1</v>
      </c>
      <c r="AS104" s="352" t="n">
        <f aca="false">IF(41&lt;5,0,IF(MAX(AN96:AS96)&gt;AS97+5+$B$18,1,0))</f>
        <v>1</v>
      </c>
      <c r="AT104" s="352" t="n">
        <f aca="false">IF(42&lt;5,0,IF(MAX(AO96:AT96)&gt;AT97+5+$B$18,1,0))</f>
        <v>1</v>
      </c>
      <c r="AU104" s="352" t="n">
        <f aca="false">IF(43&lt;5,0,IF(MAX(AP96:AU96)&gt;AU97+5+$B$18,1,0))</f>
        <v>1</v>
      </c>
      <c r="AV104" s="352" t="n">
        <f aca="false">IF(44&lt;5,0,IF(MAX(AQ96:AV96)&gt;AV97+5+$B$18,1,0))</f>
        <v>1</v>
      </c>
      <c r="AW104" s="352" t="n">
        <f aca="false">IF(45&lt;5,0,IF(MAX(AR96:AW96)&gt;AW97+5+$B$18,1,0))</f>
        <v>1</v>
      </c>
      <c r="AX104" s="352" t="n">
        <f aca="false">IF(46&lt;5,0,IF(MAX(AS96:AX96)&gt;AX97+5+$B$18,1,0))</f>
        <v>1</v>
      </c>
      <c r="AY104" s="352" t="n">
        <f aca="false">IF(47&lt;5,0,IF(MAX(AT96:AY96)&gt;AY97+5+$B$18,1,0))</f>
        <v>1</v>
      </c>
      <c r="AZ104" s="352" t="n">
        <f aca="false">IF(48&lt;5,0,IF(MAX(AU96:AZ96)&gt;AZ97+5+$B$18,1,0))</f>
        <v>1</v>
      </c>
      <c r="BA104" s="352" t="n">
        <f aca="false">IF(49&lt;5,0,IF(MAX(AV96:BA96)&gt;BA97+5+$B$18,1,0))</f>
        <v>1</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1227</v>
      </c>
      <c r="B106" s="348" t="n">
        <v>3</v>
      </c>
    </row>
    <row r="107" customFormat="false" ht="13.5" hidden="false" customHeight="true" outlineLevel="0" collapsed="false">
      <c r="A107" s="109" t="s">
        <v>1228</v>
      </c>
      <c r="B107" s="348" t="n">
        <v>0.5</v>
      </c>
    </row>
    <row r="108" customFormat="false" ht="13.5" hidden="false" customHeight="true" outlineLevel="0" collapsed="false">
      <c r="A108" s="1" t="s">
        <v>1229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54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1230</v>
      </c>
    </row>
    <row r="2" customFormat="false" ht="13.5" hidden="false" customHeight="true" outlineLevel="0" collapsed="false">
      <c r="A2" s="354" t="s">
        <v>1231</v>
      </c>
    </row>
    <row r="3" customFormat="false" ht="15" hidden="false" customHeight="true" outlineLevel="0" collapsed="false">
      <c r="A3" s="355" t="s">
        <v>1232</v>
      </c>
    </row>
    <row r="4" customFormat="false" ht="15" hidden="false" customHeight="true" outlineLevel="0" collapsed="false">
      <c r="A4" s="118" t="s">
        <v>1233</v>
      </c>
      <c r="C4" s="356" t="n">
        <f aca="false">Assumptions!$B$15</f>
        <v>0.015</v>
      </c>
      <c r="D4" s="357" t="s">
        <v>1234</v>
      </c>
    </row>
    <row r="5" customFormat="false" ht="15" hidden="false" customHeight="true" outlineLevel="0" collapsed="false">
      <c r="A5" s="118" t="s">
        <v>1235</v>
      </c>
      <c r="C5" s="358" t="n">
        <f aca="false">95034/12993776.05</f>
        <v>0.00731380929102591</v>
      </c>
      <c r="D5" s="357" t="s">
        <v>1236</v>
      </c>
    </row>
    <row r="6" customFormat="false" ht="15" hidden="false" customHeight="true" outlineLevel="0" collapsed="false">
      <c r="A6" s="118" t="s">
        <v>1237</v>
      </c>
      <c r="C6" s="356" t="n">
        <f aca="false">Assumptions!$B$17</f>
        <v>0.0325</v>
      </c>
      <c r="D6" s="357" t="s">
        <v>1238</v>
      </c>
    </row>
    <row r="7" customFormat="false" ht="15" hidden="false" customHeight="true" outlineLevel="0" collapsed="false">
      <c r="A7" s="118" t="s">
        <v>1239</v>
      </c>
      <c r="C7" s="359" t="n">
        <v>1800000</v>
      </c>
      <c r="D7" s="357" t="s">
        <v>1240</v>
      </c>
      <c r="F7" s="118" t="s">
        <v>1241</v>
      </c>
      <c r="H7" s="360" t="n">
        <f aca="false">SUMPRODUCT(($S$11:$S$54=1)*($H$11:$H$54&lt;=$C$8)*$Z$11:$Z$54)</f>
        <v>692876.895125</v>
      </c>
    </row>
    <row r="8" customFormat="false" ht="15" hidden="false" customHeight="true" outlineLevel="0" collapsed="false">
      <c r="A8" s="118" t="s">
        <v>1242</v>
      </c>
      <c r="C8" s="361" t="n">
        <f aca="false">SUMPRODUCT(--(Model!$B$4:$DE$4="Actuals"))-3</f>
        <v>6</v>
      </c>
      <c r="D8" s="357" t="s">
        <v>1243</v>
      </c>
      <c r="F8" s="118" t="s">
        <v>1244</v>
      </c>
      <c r="H8" s="360" t="n">
        <f aca="false">SUMIFS($O$11:$O$54,$H$11:$H$54,"&lt;="&amp;$C$8)</f>
        <v>692876.89</v>
      </c>
    </row>
    <row r="9" customFormat="false" ht="15" hidden="false" customHeight="true" outlineLevel="0" collapsed="false">
      <c r="A9" s="118" t="s">
        <v>1245</v>
      </c>
      <c r="C9" s="362" t="n">
        <f aca="false">SUM(AC11:AC54)</f>
        <v>0.00512500014156103</v>
      </c>
      <c r="D9" s="357" t="s">
        <v>1246</v>
      </c>
      <c r="F9" s="118" t="s">
        <v>1247</v>
      </c>
      <c r="H9" s="363" t="n">
        <v>10</v>
      </c>
    </row>
    <row r="10" customFormat="false" ht="48" hidden="false" customHeight="true" outlineLevel="0" collapsed="false">
      <c r="A10" s="173" t="s">
        <v>468</v>
      </c>
      <c r="B10" s="173" t="s">
        <v>1248</v>
      </c>
      <c r="C10" s="173" t="s">
        <v>566</v>
      </c>
      <c r="D10" s="173" t="s">
        <v>567</v>
      </c>
      <c r="E10" s="173" t="s">
        <v>1249</v>
      </c>
      <c r="F10" s="173" t="s">
        <v>1250</v>
      </c>
      <c r="G10" s="173" t="s">
        <v>1251</v>
      </c>
      <c r="H10" s="173" t="s">
        <v>1252</v>
      </c>
      <c r="I10" s="173" t="s">
        <v>1253</v>
      </c>
      <c r="J10" s="173" t="s">
        <v>1254</v>
      </c>
      <c r="K10" s="173" t="s">
        <v>1255</v>
      </c>
      <c r="L10" s="173" t="s">
        <v>1256</v>
      </c>
      <c r="M10" s="173" t="s">
        <v>1255</v>
      </c>
      <c r="N10" s="173" t="s">
        <v>1257</v>
      </c>
      <c r="O10" s="173" t="s">
        <v>1258</v>
      </c>
      <c r="P10" s="173" t="s">
        <v>1255</v>
      </c>
      <c r="Q10" s="173" t="s">
        <v>1259</v>
      </c>
      <c r="R10" s="173" t="s">
        <v>1260</v>
      </c>
      <c r="S10" s="173" t="s">
        <v>1261</v>
      </c>
      <c r="T10" s="173" t="s">
        <v>1262</v>
      </c>
      <c r="U10" s="173" t="s">
        <v>1263</v>
      </c>
      <c r="V10" s="173" t="s">
        <v>1264</v>
      </c>
      <c r="W10" s="173" t="s">
        <v>1265</v>
      </c>
      <c r="X10" s="173" t="s">
        <v>1266</v>
      </c>
      <c r="Y10" s="173" t="s">
        <v>1267</v>
      </c>
      <c r="Z10" s="173" t="s">
        <v>1268</v>
      </c>
      <c r="AA10" s="173" t="s">
        <v>1269</v>
      </c>
      <c r="AB10" s="173" t="s">
        <v>1270</v>
      </c>
      <c r="AC10" s="173" t="s">
        <v>1271</v>
      </c>
      <c r="AD10" s="173" t="s">
        <v>629</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1272</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1272</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t="n">
        <v>365613.17</v>
      </c>
      <c r="P16" s="365" t="n">
        <v>6</v>
      </c>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0.00350000004982576</v>
      </c>
      <c r="AD16" s="378" t="s">
        <v>1273</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t="n">
        <v>327263.72</v>
      </c>
      <c r="P17" s="365" t="n">
        <v>6</v>
      </c>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0.00162500009173527</v>
      </c>
      <c r="AD17" s="372" t="s">
        <v>1274</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1275</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1276</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Yes</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1</v>
      </c>
      <c r="T23" s="368" t="n">
        <f aca="false">$S23*IF($J23&lt;&gt;"",$J23,$F23*IF($I23&lt;&gt;"",$I23,$C$4)/(1+IF($I23&lt;&gt;"",$I23,$C$4)))</f>
        <v>611152.197044335</v>
      </c>
      <c r="U23" s="368" t="n">
        <f aca="false">$S23*IF($L23&lt;&gt;"",$L23,$F23*$C$5)</f>
        <v>302459.891748558</v>
      </c>
      <c r="V23" s="368" t="n">
        <f aca="false">$S23*$F23*IF($N23&lt;&gt;"",$N23,$C$6)</f>
        <v>1344025.54</v>
      </c>
      <c r="W23" s="368" t="n">
        <f aca="false">MAX(0,$V23-$U23)</f>
        <v>1041565.64825144</v>
      </c>
      <c r="X23" s="369" t="n">
        <f aca="false">IF($B23&lt;&gt;"",$B23,100+$H23)</f>
        <v>127</v>
      </c>
      <c r="Y23" s="368" t="n">
        <f aca="false">$S23*MAX(0,MIN($W23,$C$7-SUMIFS($W$11:$W$54,$X$11:$X$54,"&lt;"&amp;$X23)))</f>
        <v>0</v>
      </c>
      <c r="Z23" s="368" t="n">
        <f aca="false">$W23-$Y23</f>
        <v>1041565.64825144</v>
      </c>
      <c r="AA23" s="371" t="n">
        <f aca="false">$S23*($T23-$U23-$Z23)</f>
        <v>-732873.342955665</v>
      </c>
      <c r="AB23" s="371" t="n">
        <f aca="false">$S23*($T23-$U23)</f>
        <v>308692.305295778</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Yes</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1</v>
      </c>
      <c r="T24" s="375" t="n">
        <f aca="false">$S24*IF($J24&lt;&gt;"",$J24,$F24*IF($I24&lt;&gt;"",$I24,$C$4)/(1+IF($I24&lt;&gt;"",$I24,$C$4)))</f>
        <v>210141.059113301</v>
      </c>
      <c r="U24" s="375" t="n">
        <f aca="false">$S24*IF($L24&lt;&gt;"",$L24,$F24*$C$5)</f>
        <v>103999.040335161</v>
      </c>
      <c r="V24" s="375" t="n">
        <f aca="false">$S24*$F24*IF($N24&lt;&gt;"",$N24,$C$6)</f>
        <v>462135.2125</v>
      </c>
      <c r="W24" s="375" t="n">
        <f aca="false">MAX(0,$V24-$U24)</f>
        <v>358136.172164839</v>
      </c>
      <c r="X24" s="376" t="n">
        <f aca="false">IF($B24&lt;&gt;"",$B24,100+$H24)</f>
        <v>118</v>
      </c>
      <c r="Y24" s="375" t="n">
        <f aca="false">$S24*MAX(0,MIN($W24,$C$7-SUMIFS($W$11:$W$54,$X$11:$X$54,"&lt;"&amp;$X24)))</f>
        <v>0</v>
      </c>
      <c r="Z24" s="375" t="n">
        <f aca="false">$W24-$Y24</f>
        <v>358136.172164839</v>
      </c>
      <c r="AA24" s="377" t="n">
        <f aca="false">$S24*($T24-$U24-$Z24)</f>
        <v>-251994.1533867</v>
      </c>
      <c r="AB24" s="377" t="n">
        <f aca="false">$S24*($T24-$U24)</f>
        <v>106142.018778139</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Yes</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1</v>
      </c>
      <c r="T25" s="368" t="n">
        <f aca="false">$S25*IF($J25&lt;&gt;"",$J25,$F25*IF($I25&lt;&gt;"",$I25,$C$4)/(1+IF($I25&lt;&gt;"",$I25,$C$4)))</f>
        <v>170505.886699507</v>
      </c>
      <c r="U25" s="368" t="n">
        <f aca="false">$S25*IF($L25&lt;&gt;"",$L25,$F25*$C$5)</f>
        <v>84383.5500928154</v>
      </c>
      <c r="V25" s="368" t="n">
        <f aca="false">$S25*$F25*IF($N25&lt;&gt;"",$N25,$C$6)</f>
        <v>374970.8625</v>
      </c>
      <c r="W25" s="368" t="n">
        <f aca="false">MAX(0,$V25-$U25)</f>
        <v>290587.312407185</v>
      </c>
      <c r="X25" s="369" t="n">
        <f aca="false">IF($B25&lt;&gt;"",$B25,100+$H25)</f>
        <v>114</v>
      </c>
      <c r="Y25" s="368" t="n">
        <f aca="false">$S25*MAX(0,MIN($W25,$C$7-SUMIFS($W$11:$W$54,$X$11:$X$54,"&lt;"&amp;$X25)))</f>
        <v>0</v>
      </c>
      <c r="Z25" s="368" t="n">
        <f aca="false">$W25-$Y25</f>
        <v>290587.312407185</v>
      </c>
      <c r="AA25" s="371" t="n">
        <f aca="false">$S25*($T25-$U25-$Z25)</f>
        <v>-204464.975800493</v>
      </c>
      <c r="AB25" s="371" t="n">
        <f aca="false">$S25*($T25-$U25)</f>
        <v>86122.336606692</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Yes</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1</v>
      </c>
      <c r="T26" s="375" t="n">
        <f aca="false">$S26*IF($J26&lt;&gt;"",$J26,$F26*IF($I26&lt;&gt;"",$I26,$C$4)/(1+IF($I26&lt;&gt;"",$I26,$C$4)))</f>
        <v>277309.137931035</v>
      </c>
      <c r="U26" s="375" t="n">
        <f aca="false">$S26*IF($L26&lt;&gt;"",$L26,$F26*$C$5)</f>
        <v>137240.596115245</v>
      </c>
      <c r="V26" s="375" t="n">
        <f aca="false">$S26*$F26*IF($N26&lt;&gt;"",$N26,$C$6)</f>
        <v>609849.0125</v>
      </c>
      <c r="W26" s="375" t="n">
        <f aca="false">MAX(0,$V26-$U26)</f>
        <v>472608.416384755</v>
      </c>
      <c r="X26" s="376" t="n">
        <f aca="false">IF($B26&lt;&gt;"",$B26,100+$H26)</f>
        <v>113</v>
      </c>
      <c r="Y26" s="375" t="n">
        <f aca="false">$S26*MAX(0,MIN($W26,$C$7-SUMIFS($W$11:$W$54,$X$11:$X$54,"&lt;"&amp;$X26)))</f>
        <v>0</v>
      </c>
      <c r="Z26" s="375" t="n">
        <f aca="false">$W26-$Y26</f>
        <v>472608.416384755</v>
      </c>
      <c r="AA26" s="377" t="n">
        <f aca="false">$S26*($T26-$U26-$Z26)</f>
        <v>-332539.874568966</v>
      </c>
      <c r="AB26" s="377" t="n">
        <f aca="false">$S26*($T26-$U26)</f>
        <v>140068.541815789</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Yes</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Yes</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1</v>
      </c>
      <c r="T29" s="368" t="n">
        <f aca="false">$S29*IF($J29&lt;&gt;"",$J29,$F29*IF($I29&lt;&gt;"",$I29,$C$4)/(1+IF($I29&lt;&gt;"",$I29,$C$4)))</f>
        <v>202551.724137931</v>
      </c>
      <c r="U29" s="368" t="n">
        <f aca="false">$S29*IF($L29&lt;&gt;"",$L29,$F29*$C$5)</f>
        <v>100243.070142801</v>
      </c>
      <c r="V29" s="368" t="n">
        <f aca="false">$S29*$F29*IF($N29&lt;&gt;"",$N29,$C$6)</f>
        <v>445445</v>
      </c>
      <c r="W29" s="368" t="n">
        <f aca="false">MAX(0,$V29-$U29)</f>
        <v>345201.929857199</v>
      </c>
      <c r="X29" s="369" t="n">
        <f aca="false">IF($B29&lt;&gt;"",$B29,100+$H29)</f>
        <v>119</v>
      </c>
      <c r="Y29" s="368" t="n">
        <f aca="false">$S29*MAX(0,MIN($W29,$C$7-SUMIFS($W$11:$W$54,$X$11:$X$54,"&lt;"&amp;$X29)))</f>
        <v>0</v>
      </c>
      <c r="Z29" s="368" t="n">
        <f aca="false">$W29-$Y29</f>
        <v>345201.929857199</v>
      </c>
      <c r="AA29" s="371" t="n">
        <f aca="false">$S29*($T29-$U29-$Z29)</f>
        <v>-242893.275862069</v>
      </c>
      <c r="AB29" s="371" t="n">
        <f aca="false">$S29*($T29-$U29)</f>
        <v>102308.65399513</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17</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117</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Yes</v>
      </c>
      <c r="E31" s="367"/>
      <c r="F31" s="368" t="n">
        <f aca="false">IF($E31&lt;&gt;"",$E31,Projects!$B$24)</f>
        <v>18000000</v>
      </c>
      <c r="G31" s="365"/>
      <c r="H31" s="369" t="n">
        <f aca="false">IF($G31&lt;&gt;"",$G31,Projects!$C$24)</f>
        <v>24</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124</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Yes</v>
      </c>
      <c r="E32" s="367"/>
      <c r="F32" s="375" t="n">
        <f aca="false">IF($E32&lt;&gt;"",$E32,Projects!$B$25)</f>
        <v>18000000</v>
      </c>
      <c r="G32" s="365"/>
      <c r="H32" s="376" t="n">
        <f aca="false">IF($G32&lt;&gt;"",$G32,Projects!$C$25)</f>
        <v>29</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129</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Yes</v>
      </c>
      <c r="E33" s="367"/>
      <c r="F33" s="368" t="n">
        <f aca="false">IF($E33&lt;&gt;"",$E33,Projects!$B$26)</f>
        <v>18000000</v>
      </c>
      <c r="G33" s="365"/>
      <c r="H33" s="369" t="n">
        <f aca="false">IF($G33&lt;&gt;"",$G33,Projects!$C$26)</f>
        <v>30</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130</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Yes</v>
      </c>
      <c r="E34" s="367"/>
      <c r="F34" s="375" t="n">
        <f aca="false">IF($E34&lt;&gt;"",$E34,Projects!$B$27)</f>
        <v>15000000</v>
      </c>
      <c r="G34" s="365"/>
      <c r="H34" s="376" t="n">
        <f aca="false">IF($G34&lt;&gt;"",$G34,Projects!$C$27)</f>
        <v>31</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131</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Yes</v>
      </c>
      <c r="E35" s="367"/>
      <c r="F35" s="368" t="n">
        <f aca="false">IF($E35&lt;&gt;"",$E35,Projects!$B$28)</f>
        <v>15000000</v>
      </c>
      <c r="G35" s="365"/>
      <c r="H35" s="369" t="n">
        <f aca="false">IF($G35&lt;&gt;"",$G35,Projects!$C$28)</f>
        <v>32</v>
      </c>
      <c r="I35" s="370"/>
      <c r="J35" s="367"/>
      <c r="K35" s="365"/>
      <c r="L35" s="367"/>
      <c r="M35" s="365"/>
      <c r="N35" s="370"/>
      <c r="O35" s="367"/>
      <c r="P35" s="365"/>
      <c r="Q35" s="367"/>
      <c r="R35" s="365"/>
      <c r="S35" s="369" t="n">
        <f aca="false">IF(AND($C35="Yes",$D35="Yes"),1,0)</f>
        <v>1</v>
      </c>
      <c r="T35" s="368" t="n">
        <f aca="false">$S35*IF($J35&lt;&gt;"",$J35,$F35*IF($I35&lt;&gt;"",$I35,$C$4)/(1+IF($I35&lt;&gt;"",$I35,$C$4)))</f>
        <v>221674.876847291</v>
      </c>
      <c r="U35" s="368" t="n">
        <f aca="false">$S35*IF($L35&lt;&gt;"",$L35,$F35*$C$5)</f>
        <v>109707.139365389</v>
      </c>
      <c r="V35" s="368" t="n">
        <f aca="false">$S35*$F35*IF($N35&lt;&gt;"",$N35,$C$6)</f>
        <v>487500</v>
      </c>
      <c r="W35" s="368" t="n">
        <f aca="false">MAX(0,$V35-$U35)</f>
        <v>377792.860634611</v>
      </c>
      <c r="X35" s="369" t="n">
        <f aca="false">IF($B35&lt;&gt;"",$B35,100+$H35)</f>
        <v>132</v>
      </c>
      <c r="Y35" s="368" t="n">
        <f aca="false">$S35*MAX(0,MIN($W35,$C$7-SUMIFS($W$11:$W$54,$X$11:$X$54,"&lt;"&amp;$X35)))</f>
        <v>0</v>
      </c>
      <c r="Z35" s="368" t="n">
        <f aca="false">$W35-$Y35</f>
        <v>377792.860634611</v>
      </c>
      <c r="AA35" s="371" t="n">
        <f aca="false">$S35*($T35-$U35-$Z35)</f>
        <v>-265825.123152709</v>
      </c>
      <c r="AB35" s="371" t="n">
        <f aca="false">$S35*($T35-$U35)</f>
        <v>111967.737481902</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Yes</v>
      </c>
      <c r="E36" s="367"/>
      <c r="F36" s="375" t="n">
        <f aca="false">IF($E36&lt;&gt;"",$E36,Projects!$B$29)</f>
        <v>15000000</v>
      </c>
      <c r="G36" s="365"/>
      <c r="H36" s="376" t="n">
        <f aca="false">IF($G36&lt;&gt;"",$G36,Projects!$C$29)</f>
        <v>33</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133</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Yes</v>
      </c>
      <c r="E37" s="367"/>
      <c r="F37" s="368" t="n">
        <f aca="false">IF($E37&lt;&gt;"",$E37,Projects!$B$30)</f>
        <v>15000000</v>
      </c>
      <c r="G37" s="365"/>
      <c r="H37" s="369" t="n">
        <f aca="false">IF($G37&lt;&gt;"",$G37,Projects!$C$30)</f>
        <v>34</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134</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Yes</v>
      </c>
      <c r="E38" s="367"/>
      <c r="F38" s="375" t="n">
        <f aca="false">IF($E38&lt;&gt;"",$E38,Projects!$B$31)</f>
        <v>18000000</v>
      </c>
      <c r="G38" s="365"/>
      <c r="H38" s="376" t="n">
        <f aca="false">IF($G38&lt;&gt;"",$G38,Projects!$C$31)</f>
        <v>35</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135</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Yes</v>
      </c>
      <c r="E39" s="367"/>
      <c r="F39" s="368" t="n">
        <f aca="false">IF($E39&lt;&gt;"",$E39,Projects!$B$32)</f>
        <v>15000000</v>
      </c>
      <c r="G39" s="365"/>
      <c r="H39" s="369" t="n">
        <f aca="false">IF($G39&lt;&gt;"",$G39,Projects!$C$32)</f>
        <v>36</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136</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Yes</v>
      </c>
      <c r="E40" s="367"/>
      <c r="F40" s="375" t="n">
        <f aca="false">IF($E40&lt;&gt;"",$E40,Projects!$B$33)</f>
        <v>15000000</v>
      </c>
      <c r="G40" s="365"/>
      <c r="H40" s="376" t="n">
        <f aca="false">IF($G40&lt;&gt;"",$G40,Projects!$C$33)</f>
        <v>37</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137</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Yes</v>
      </c>
      <c r="E41" s="367"/>
      <c r="F41" s="368" t="n">
        <f aca="false">IF($E41&lt;&gt;"",$E41,Projects!$B$34)</f>
        <v>18000000</v>
      </c>
      <c r="G41" s="365"/>
      <c r="H41" s="369" t="n">
        <f aca="false">IF($G41&lt;&gt;"",$G41,Projects!$C$34)</f>
        <v>38</v>
      </c>
      <c r="I41" s="370"/>
      <c r="J41" s="367"/>
      <c r="K41" s="365"/>
      <c r="L41" s="367"/>
      <c r="M41" s="365"/>
      <c r="N41" s="370"/>
      <c r="O41" s="367"/>
      <c r="P41" s="365"/>
      <c r="Q41" s="367"/>
      <c r="R41" s="365"/>
      <c r="S41" s="369" t="n">
        <f aca="false">IF(AND($C41="Yes",$D41="Yes"),1,0)</f>
        <v>1</v>
      </c>
      <c r="T41" s="368" t="n">
        <f aca="false">$S41*IF($J41&lt;&gt;"",$J41,$F41*IF($I41&lt;&gt;"",$I41,$C$4)/(1+IF($I41&lt;&gt;"",$I41,$C$4)))</f>
        <v>266009.852216749</v>
      </c>
      <c r="U41" s="368" t="n">
        <f aca="false">$S41*IF($L41&lt;&gt;"",$L41,$F41*$C$5)</f>
        <v>131648.567238466</v>
      </c>
      <c r="V41" s="368" t="n">
        <f aca="false">$S41*$F41*IF($N41&lt;&gt;"",$N41,$C$6)</f>
        <v>585000</v>
      </c>
      <c r="W41" s="368" t="n">
        <f aca="false">MAX(0,$V41-$U41)</f>
        <v>453351.432761534</v>
      </c>
      <c r="X41" s="369" t="n">
        <f aca="false">IF($B41&lt;&gt;"",$B41,100+$H41)</f>
        <v>138</v>
      </c>
      <c r="Y41" s="368" t="n">
        <f aca="false">$S41*MAX(0,MIN($W41,$C$7-SUMIFS($W$11:$W$54,$X$11:$X$54,"&lt;"&amp;$X41)))</f>
        <v>0</v>
      </c>
      <c r="Z41" s="368" t="n">
        <f aca="false">$W41-$Y41</f>
        <v>453351.432761534</v>
      </c>
      <c r="AA41" s="371" t="n">
        <f aca="false">$S41*($T41-$U41-$Z41)</f>
        <v>-318990.147783251</v>
      </c>
      <c r="AB41" s="371" t="n">
        <f aca="false">$S41*($T41-$U41)</f>
        <v>134361.284978282</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Yes</v>
      </c>
      <c r="E42" s="367"/>
      <c r="F42" s="375" t="n">
        <f aca="false">IF($E42&lt;&gt;"",$E42,Projects!$B$35)</f>
        <v>15000000</v>
      </c>
      <c r="G42" s="365"/>
      <c r="H42" s="376" t="n">
        <f aca="false">IF($G42&lt;&gt;"",$G42,Projects!$C$35)</f>
        <v>39</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139</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Yes</v>
      </c>
      <c r="E43" s="367"/>
      <c r="F43" s="368" t="n">
        <f aca="false">IF($E43&lt;&gt;"",$E43,Projects!$B$36)</f>
        <v>18000000</v>
      </c>
      <c r="G43" s="365"/>
      <c r="H43" s="369" t="n">
        <f aca="false">IF($G43&lt;&gt;"",$G43,Projects!$C$36)</f>
        <v>43</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143</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Yes</v>
      </c>
      <c r="E44" s="367"/>
      <c r="F44" s="375" t="n">
        <f aca="false">IF($E44&lt;&gt;"",$E44,Projects!$B$37)</f>
        <v>15000000</v>
      </c>
      <c r="G44" s="365"/>
      <c r="H44" s="376" t="n">
        <f aca="false">IF($G44&lt;&gt;"",$G44,Projects!$C$37)</f>
        <v>44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144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Yes</v>
      </c>
      <c r="E45" s="367"/>
      <c r="F45" s="368" t="n">
        <f aca="false">IF($E45&lt;&gt;"",$E45,Projects!$B$38)</f>
        <v>15000000</v>
      </c>
      <c r="G45" s="365"/>
      <c r="H45" s="369" t="n">
        <f aca="false">IF($G45&lt;&gt;"",$G45,Projects!$C$38)</f>
        <v>48</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148</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Yes</v>
      </c>
      <c r="E46" s="367"/>
      <c r="F46" s="375" t="n">
        <f aca="false">IF($E46&lt;&gt;"",$E46,Projects!$B$39)</f>
        <v>18000000</v>
      </c>
      <c r="G46" s="365"/>
      <c r="H46" s="376" t="n">
        <f aca="false">IF($G46&lt;&gt;"",$G46,Projects!$C$39)</f>
        <v>49</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149</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Yes</v>
      </c>
      <c r="E47" s="367"/>
      <c r="F47" s="368" t="n">
        <f aca="false">IF($E47&lt;&gt;"",$E47,Projects!$B$40)</f>
        <v>15000000</v>
      </c>
      <c r="G47" s="365"/>
      <c r="H47" s="369" t="n">
        <f aca="false">IF($G47&lt;&gt;"",$G47,Projects!$C$40)</f>
        <v>50</v>
      </c>
      <c r="I47" s="370"/>
      <c r="J47" s="367"/>
      <c r="K47" s="365"/>
      <c r="L47" s="367"/>
      <c r="M47" s="365"/>
      <c r="N47" s="370"/>
      <c r="O47" s="367"/>
      <c r="P47" s="365"/>
      <c r="Q47" s="367"/>
      <c r="R47" s="365"/>
      <c r="S47" s="369" t="n">
        <f aca="false">IF(AND($C47="Yes",$D47="Yes"),1,0)</f>
        <v>1</v>
      </c>
      <c r="T47" s="368" t="n">
        <f aca="false">$S47*IF($J47&lt;&gt;"",$J47,$F47*IF($I47&lt;&gt;"",$I47,$C$4)/(1+IF($I47&lt;&gt;"",$I47,$C$4)))</f>
        <v>221674.876847291</v>
      </c>
      <c r="U47" s="368" t="n">
        <f aca="false">$S47*IF($L47&lt;&gt;"",$L47,$F47*$C$5)</f>
        <v>109707.139365389</v>
      </c>
      <c r="V47" s="368" t="n">
        <f aca="false">$S47*$F47*IF($N47&lt;&gt;"",$N47,$C$6)</f>
        <v>487500</v>
      </c>
      <c r="W47" s="368" t="n">
        <f aca="false">MAX(0,$V47-$U47)</f>
        <v>377792.860634611</v>
      </c>
      <c r="X47" s="369" t="n">
        <f aca="false">IF($B47&lt;&gt;"",$B47,100+$H47)</f>
        <v>150</v>
      </c>
      <c r="Y47" s="368" t="n">
        <f aca="false">$S47*MAX(0,MIN($W47,$C$7-SUMIFS($W$11:$W$54,$X$11:$X$54,"&lt;"&amp;$X47)))</f>
        <v>0</v>
      </c>
      <c r="Z47" s="368" t="n">
        <f aca="false">$W47-$Y47</f>
        <v>377792.860634611</v>
      </c>
      <c r="AA47" s="371" t="n">
        <f aca="false">$S47*($T47-$U47-$Z47)</f>
        <v>-265825.123152709</v>
      </c>
      <c r="AB47" s="371" t="n">
        <f aca="false">$S47*($T47-$U47)</f>
        <v>111967.737481902</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Yes</v>
      </c>
      <c r="E48" s="367"/>
      <c r="F48" s="375" t="n">
        <f aca="false">IF($E48&lt;&gt;"",$E48,Projects!$B$41)</f>
        <v>15000000</v>
      </c>
      <c r="G48" s="365"/>
      <c r="H48" s="376" t="n">
        <f aca="false">IF($G48&lt;&gt;"",$G48,Projects!$C$41)</f>
        <v>51</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151</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Yes</v>
      </c>
      <c r="E49" s="367"/>
      <c r="F49" s="368" t="n">
        <f aca="false">IF($E49&lt;&gt;"",$E49,Projects!$B$42)</f>
        <v>18000000</v>
      </c>
      <c r="G49" s="365"/>
      <c r="H49" s="369" t="n">
        <f aca="false">IF($G49&lt;&gt;"",$G49,Projects!$C$42)</f>
        <v>52</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152</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Yes</v>
      </c>
      <c r="E50" s="367"/>
      <c r="F50" s="375" t="n">
        <f aca="false">IF($E50&lt;&gt;"",$E50,Projects!$B$43)</f>
        <v>15000000</v>
      </c>
      <c r="G50" s="365"/>
      <c r="H50" s="376" t="n">
        <f aca="false">IF($G50&lt;&gt;"",$G50,Projects!$C$43)</f>
        <v>53</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153</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Yes</v>
      </c>
      <c r="E51" s="367"/>
      <c r="F51" s="368" t="n">
        <f aca="false">IF($E51&lt;&gt;"",$E51,Projects!$B$44)</f>
        <v>15000000</v>
      </c>
      <c r="G51" s="365"/>
      <c r="H51" s="369" t="n">
        <f aca="false">IF($G51&lt;&gt;"",$G51,Projects!$C$44)</f>
        <v>54</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154</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Yes</v>
      </c>
      <c r="E52" s="367"/>
      <c r="F52" s="375" t="n">
        <f aca="false">IF($E52&lt;&gt;"",$E52,Projects!$B$45)</f>
        <v>18000000</v>
      </c>
      <c r="G52" s="365"/>
      <c r="H52" s="376" t="n">
        <f aca="false">IF($G52&lt;&gt;"",$G52,Projects!$C$45)</f>
        <v>55</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155</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Yes</v>
      </c>
      <c r="E53" s="367"/>
      <c r="F53" s="368" t="n">
        <f aca="false">IF($E53&lt;&gt;"",$E53,Projects!$B$46)</f>
        <v>15000000</v>
      </c>
      <c r="G53" s="365"/>
      <c r="H53" s="369" t="n">
        <f aca="false">IF($G53&lt;&gt;"",$G53,Projects!$C$46)</f>
        <v>56</v>
      </c>
      <c r="I53" s="370"/>
      <c r="J53" s="367"/>
      <c r="K53" s="365"/>
      <c r="L53" s="367"/>
      <c r="M53" s="365"/>
      <c r="N53" s="370"/>
      <c r="O53" s="367"/>
      <c r="P53" s="365"/>
      <c r="Q53" s="367"/>
      <c r="R53" s="365"/>
      <c r="S53" s="369" t="n">
        <f aca="false">IF(AND($C53="Yes",$D53="Yes"),1,0)</f>
        <v>1</v>
      </c>
      <c r="T53" s="368" t="n">
        <f aca="false">$S53*IF($J53&lt;&gt;"",$J53,$F53*IF($I53&lt;&gt;"",$I53,$C$4)/(1+IF($I53&lt;&gt;"",$I53,$C$4)))</f>
        <v>221674.876847291</v>
      </c>
      <c r="U53" s="368" t="n">
        <f aca="false">$S53*IF($L53&lt;&gt;"",$L53,$F53*$C$5)</f>
        <v>109707.139365389</v>
      </c>
      <c r="V53" s="368" t="n">
        <f aca="false">$S53*$F53*IF($N53&lt;&gt;"",$N53,$C$6)</f>
        <v>487500</v>
      </c>
      <c r="W53" s="368" t="n">
        <f aca="false">MAX(0,$V53-$U53)</f>
        <v>377792.860634611</v>
      </c>
      <c r="X53" s="369" t="n">
        <f aca="false">IF($B53&lt;&gt;"",$B53,100+$H53)</f>
        <v>156</v>
      </c>
      <c r="Y53" s="368" t="n">
        <f aca="false">$S53*MAX(0,MIN($W53,$C$7-SUMIFS($W$11:$W$54,$X$11:$X$54,"&lt;"&amp;$X53)))</f>
        <v>0</v>
      </c>
      <c r="Z53" s="368" t="n">
        <f aca="false">$W53-$Y53</f>
        <v>377792.860634611</v>
      </c>
      <c r="AA53" s="371" t="n">
        <f aca="false">$S53*($T53-$U53-$Z53)</f>
        <v>-265825.123152709</v>
      </c>
      <c r="AB53" s="371" t="n">
        <f aca="false">$S53*($T53-$U53)</f>
        <v>111967.737481902</v>
      </c>
      <c r="AC53" s="368" t="n">
        <f aca="false">IF(AND($S53=1,$H53&lt;=$C$8),$Z53-N($O53),0)</f>
        <v>0</v>
      </c>
      <c r="AD53" s="372"/>
    </row>
    <row r="54" customFormat="false" ht="15" hidden="false" customHeight="true" outlineLevel="0" collapsed="false">
      <c r="A54" s="373" t="s">
        <v>50</v>
      </c>
      <c r="B54" s="365"/>
      <c r="C54" s="374" t="s">
        <v>583</v>
      </c>
      <c r="D54" s="374" t="s">
        <v>583</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487</v>
      </c>
      <c r="B56" s="380"/>
      <c r="C56" s="380"/>
      <c r="D56" s="380"/>
      <c r="E56" s="380"/>
      <c r="F56" s="380"/>
      <c r="G56" s="380"/>
      <c r="H56" s="380"/>
      <c r="I56" s="380"/>
      <c r="J56" s="380"/>
      <c r="K56" s="380"/>
      <c r="L56" s="380"/>
      <c r="M56" s="380"/>
      <c r="N56" s="380"/>
      <c r="O56" s="380"/>
      <c r="P56" s="380"/>
      <c r="Q56" s="380"/>
      <c r="R56" s="380"/>
      <c r="S56" s="380"/>
      <c r="T56" s="380" t="n">
        <f aca="false">SUM(T11:T54)</f>
        <v>5054131.29433498</v>
      </c>
      <c r="U56" s="380" t="n">
        <f aca="false">SUM(U11:U54)</f>
        <v>2397010.14581779</v>
      </c>
      <c r="V56" s="380" t="n">
        <f aca="false">SUM(V11:V54)</f>
        <v>10660358.210125</v>
      </c>
      <c r="W56" s="380" t="n">
        <f aca="false">SUM(W11:W54)</f>
        <v>8263348.06430721</v>
      </c>
      <c r="X56" s="380"/>
      <c r="Y56" s="380" t="n">
        <f aca="false">SUM(Y11:Y54)</f>
        <v>1800000</v>
      </c>
      <c r="Z56" s="381" t="n">
        <f aca="false">SUM(Z11:Z54)</f>
        <v>6463348.06430721</v>
      </c>
      <c r="AA56" s="381" t="n">
        <f aca="false">SUM(AA11:AA54)</f>
        <v>-3806226.91579002</v>
      </c>
      <c r="AB56" s="381" t="n">
        <f aca="false">SUM(AB11:AB54)</f>
        <v>2657121.14851718</v>
      </c>
      <c r="AC56" s="381" t="n">
        <f aca="false">SUM(AC11:AC54)</f>
        <v>0.00512500014156103</v>
      </c>
      <c r="AD56" s="380"/>
    </row>
    <row r="57" customFormat="false" ht="15" hidden="false" customHeight="true" outlineLevel="0" collapsed="false">
      <c r="A57" s="118" t="s">
        <v>1277</v>
      </c>
      <c r="C57" s="382" t="str">
        <f aca="false">IF(Y56&lt;=$C$7+0.5,"OK","OVER CAP")</f>
        <v>OK</v>
      </c>
      <c r="D57" s="357" t="s">
        <v>1278</v>
      </c>
    </row>
    <row r="58" customFormat="false" ht="15" hidden="false" customHeight="true" outlineLevel="0" collapsed="false">
      <c r="A58" s="118" t="s">
        <v>1277</v>
      </c>
      <c r="C58" s="382" t="str">
        <f aca="false">IF(ABS(SUM(Model!$B$150:$DE$150)-SUMPRODUCT((H11:H54&gt;=-2)*(H11:H54&lt;=105)*T11:T54))&lt;1,"OK","CHECK")</f>
        <v>OK</v>
      </c>
      <c r="D58" s="357" t="s">
        <v>1279</v>
      </c>
    </row>
    <row r="60" customFormat="false" ht="15" hidden="false" customHeight="true" outlineLevel="0" collapsed="false">
      <c r="A60" s="383" t="s">
        <v>1280</v>
      </c>
    </row>
    <row r="61" customFormat="false" ht="15" hidden="false" customHeight="true" outlineLevel="0" collapsed="false">
      <c r="A61" s="357" t="s">
        <v>1281</v>
      </c>
    </row>
    <row r="62" customFormat="false" ht="15" hidden="false" customHeight="true" outlineLevel="0" collapsed="false">
      <c r="A62" s="357" t="s">
        <v>1282</v>
      </c>
    </row>
    <row r="63" customFormat="false" ht="15" hidden="false" customHeight="true" outlineLevel="0" collapsed="false">
      <c r="A63" s="357" t="s">
        <v>1283</v>
      </c>
    </row>
    <row r="64" customFormat="false" ht="15" hidden="false" customHeight="true" outlineLevel="0" collapsed="false">
      <c r="A64" s="357" t="s">
        <v>1284</v>
      </c>
    </row>
    <row r="65" customFormat="false" ht="15" hidden="false" customHeight="true" outlineLevel="0" collapsed="false">
      <c r="A65" s="357" t="s">
        <v>1285</v>
      </c>
    </row>
    <row r="66" customFormat="false" ht="15" hidden="false" customHeight="true" outlineLevel="0" collapsed="false">
      <c r="A66" s="357" t="s">
        <v>1286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1287</v>
      </c>
    </row>
    <row r="3" customFormat="false" ht="15" hidden="false" customHeight="true" outlineLevel="0" collapsed="false">
      <c r="B3" s="385" t="s">
        <v>1288</v>
      </c>
    </row>
    <row r="5" customFormat="false" ht="15" hidden="false" customHeight="true" outlineLevel="0" collapsed="false">
      <c r="B5" s="386" t="s">
        <v>1289</v>
      </c>
      <c r="C5" s="387" t="s">
        <v>1290</v>
      </c>
    </row>
    <row r="6" customFormat="false" ht="24.75" hidden="false" customHeight="true" outlineLevel="0" collapsed="false">
      <c r="B6" s="386" t="s">
        <v>1291</v>
      </c>
      <c r="C6" s="387" t="s">
        <v>1292</v>
      </c>
    </row>
    <row r="7" customFormat="false" ht="24.75" hidden="false" customHeight="true" outlineLevel="0" collapsed="false">
      <c r="B7" s="386" t="s">
        <v>1293</v>
      </c>
      <c r="C7" s="387" t="s">
        <v>1294</v>
      </c>
    </row>
    <row r="8" customFormat="false" ht="24.75" hidden="false" customHeight="true" outlineLevel="0" collapsed="false">
      <c r="B8" s="386" t="s">
        <v>1295</v>
      </c>
      <c r="C8" s="387" t="s">
        <v>1296</v>
      </c>
    </row>
    <row r="9" customFormat="false" ht="15" hidden="false" customHeight="true" outlineLevel="0" collapsed="false">
      <c r="B9" s="386" t="s">
        <v>1297</v>
      </c>
      <c r="C9" s="387" t="s">
        <v>1298</v>
      </c>
    </row>
    <row r="10" customFormat="false" ht="15" hidden="false" customHeight="true" outlineLevel="0" collapsed="false">
      <c r="B10" s="386" t="s">
        <v>1299</v>
      </c>
      <c r="C10" s="387" t="s">
        <v>1300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1301</v>
      </c>
    </row>
    <row r="2" customFormat="false" ht="15" hidden="false" customHeight="true" outlineLevel="0" collapsed="false">
      <c r="A2" s="389" t="s">
        <v>1302</v>
      </c>
    </row>
    <row r="3" customFormat="false" ht="15" hidden="false" customHeight="true" outlineLevel="0" collapsed="false">
      <c r="A3" s="390" t="s">
        <v>1303</v>
      </c>
      <c r="B3" s="391" t="s">
        <v>584</v>
      </c>
    </row>
    <row r="5" customFormat="false" ht="15" hidden="false" customHeight="true" outlineLevel="0" collapsed="false">
      <c r="A5" s="392" t="s">
        <v>1304</v>
      </c>
      <c r="B5" s="392" t="s">
        <v>1305</v>
      </c>
      <c r="C5" s="392" t="s">
        <v>629</v>
      </c>
    </row>
    <row r="6" customFormat="false" ht="15" hidden="false" customHeight="true" outlineLevel="0" collapsed="false">
      <c r="A6" s="393" t="s">
        <v>1306</v>
      </c>
      <c r="B6" s="394" t="n">
        <v>46204</v>
      </c>
      <c r="C6" s="395" t="s">
        <v>1307</v>
      </c>
    </row>
    <row r="7" customFormat="false" ht="15" hidden="false" customHeight="true" outlineLevel="0" collapsed="false">
      <c r="A7" s="393" t="s">
        <v>1308</v>
      </c>
      <c r="B7" s="396" t="n">
        <v>150000</v>
      </c>
      <c r="C7" s="395" t="s">
        <v>1309</v>
      </c>
    </row>
    <row r="8" customFormat="false" ht="15" hidden="false" customHeight="true" outlineLevel="0" collapsed="false">
      <c r="A8" s="393" t="s">
        <v>1310</v>
      </c>
      <c r="B8" s="396" t="n">
        <v>225000</v>
      </c>
      <c r="C8" s="395" t="s">
        <v>1311</v>
      </c>
    </row>
    <row r="9" customFormat="false" ht="15" hidden="false" customHeight="true" outlineLevel="0" collapsed="false">
      <c r="A9" s="393" t="s">
        <v>1312</v>
      </c>
      <c r="B9" s="397" t="n">
        <v>72686</v>
      </c>
      <c r="C9" s="395" t="s">
        <v>1313</v>
      </c>
    </row>
    <row r="10" customFormat="false" ht="15" hidden="false" customHeight="true" outlineLevel="0" collapsed="false">
      <c r="A10" s="393" t="s">
        <v>1314</v>
      </c>
      <c r="B10" s="396" t="n">
        <v>25000</v>
      </c>
      <c r="C10" s="395" t="s">
        <v>1315</v>
      </c>
    </row>
    <row r="11" customFormat="false" ht="15" hidden="false" customHeight="true" outlineLevel="0" collapsed="false">
      <c r="A11" s="393" t="s">
        <v>1316</v>
      </c>
      <c r="B11" s="398" t="n">
        <v>0.03</v>
      </c>
      <c r="C11" s="395" t="s">
        <v>1317</v>
      </c>
    </row>
    <row r="12" customFormat="false" ht="15" hidden="false" customHeight="true" outlineLevel="0" collapsed="false">
      <c r="A12" s="393" t="s">
        <v>1318</v>
      </c>
      <c r="B12" s="398" t="n">
        <v>0.03</v>
      </c>
      <c r="C12" s="395" t="s">
        <v>1319</v>
      </c>
    </row>
    <row r="13" customFormat="false" ht="15" hidden="false" customHeight="true" outlineLevel="0" collapsed="false">
      <c r="A13" s="393" t="s">
        <v>1320</v>
      </c>
      <c r="B13" s="398" t="n">
        <v>0.5</v>
      </c>
      <c r="C13" s="395" t="s">
        <v>1321</v>
      </c>
    </row>
    <row r="14" customFormat="false" ht="15" hidden="false" customHeight="true" outlineLevel="0" collapsed="false">
      <c r="A14" s="393" t="s">
        <v>1322</v>
      </c>
      <c r="B14" s="398" t="n">
        <v>0.5</v>
      </c>
      <c r="C14" s="395" t="s">
        <v>1323</v>
      </c>
    </row>
    <row r="15" customFormat="false" ht="15" hidden="false" customHeight="true" outlineLevel="0" collapsed="false">
      <c r="A15" s="393" t="s">
        <v>1324</v>
      </c>
      <c r="B15" s="398" t="n">
        <v>0.21</v>
      </c>
      <c r="C15" s="395" t="s">
        <v>1325</v>
      </c>
    </row>
    <row r="16" customFormat="false" ht="15" hidden="false" customHeight="true" outlineLevel="0" collapsed="false">
      <c r="A16" s="393" t="s">
        <v>1326</v>
      </c>
      <c r="B16" s="399" t="n">
        <v>0.0884</v>
      </c>
      <c r="C16" s="395" t="s">
        <v>1327</v>
      </c>
    </row>
    <row r="17" customFormat="false" ht="15" hidden="false" customHeight="true" outlineLevel="0" collapsed="false">
      <c r="A17" s="393" t="s">
        <v>1328</v>
      </c>
      <c r="B17" s="396" t="n">
        <v>800</v>
      </c>
      <c r="C17" s="395" t="s">
        <v>1329</v>
      </c>
    </row>
    <row r="18" customFormat="false" ht="15" hidden="false" customHeight="true" outlineLevel="0" collapsed="false">
      <c r="A18" s="393" t="s">
        <v>1330</v>
      </c>
      <c r="B18" s="400" t="n">
        <v>3</v>
      </c>
      <c r="C18" s="395" t="s">
        <v>1331</v>
      </c>
    </row>
    <row r="20" customFormat="false" ht="15" hidden="false" customHeight="true" outlineLevel="0" collapsed="false">
      <c r="A20" s="392" t="s">
        <v>1332</v>
      </c>
    </row>
    <row r="21" customFormat="false" ht="36.75" hidden="false" customHeight="true" outlineLevel="0" collapsed="false">
      <c r="A21" s="174" t="s">
        <v>1333</v>
      </c>
      <c r="B21" s="174" t="s">
        <v>627</v>
      </c>
      <c r="C21" s="174" t="s">
        <v>1334</v>
      </c>
      <c r="D21" s="174" t="s">
        <v>1335</v>
      </c>
      <c r="E21" s="174" t="s">
        <v>1336</v>
      </c>
      <c r="F21" s="174" t="s">
        <v>1337</v>
      </c>
      <c r="G21" s="174" t="s">
        <v>1338</v>
      </c>
      <c r="H21" s="174" t="s">
        <v>1339</v>
      </c>
      <c r="I21" s="174" t="s">
        <v>1340</v>
      </c>
      <c r="J21" s="174" t="s">
        <v>1341</v>
      </c>
      <c r="K21" s="174" t="s">
        <v>1342</v>
      </c>
    </row>
    <row r="22" customFormat="false" ht="15" hidden="false" customHeight="true" outlineLevel="0" collapsed="false">
      <c r="A22" s="401" t="s">
        <v>18</v>
      </c>
      <c r="B22" s="393" t="s">
        <v>1343</v>
      </c>
      <c r="C22" s="394" t="n">
        <v>46204</v>
      </c>
      <c r="D22" s="400" t="n">
        <v>11</v>
      </c>
      <c r="E22" s="396" t="n">
        <v>110000</v>
      </c>
      <c r="F22" s="402"/>
      <c r="G22" s="396" t="n">
        <v>6666.66</v>
      </c>
      <c r="H22" s="400" t="n">
        <v>7</v>
      </c>
      <c r="I22" s="403" t="n">
        <v>1</v>
      </c>
      <c r="J22" s="404" t="n">
        <f aca="false">IF(N(D22)&gt;0,N(E22)/D22,0)+N(F22)</f>
        <v>10000</v>
      </c>
      <c r="K22" s="405" t="n">
        <f aca="false">(J22*N(D22)+N(G22))*IF(I22="",1,I22)</f>
        <v>116666.66</v>
      </c>
    </row>
    <row r="23" customFormat="false" ht="15" hidden="false" customHeight="true" outlineLevel="0" collapsed="false">
      <c r="A23" s="401" t="s">
        <v>12</v>
      </c>
      <c r="B23" s="393" t="s">
        <v>1343</v>
      </c>
      <c r="C23" s="394" t="n">
        <v>46235</v>
      </c>
      <c r="D23" s="400" t="n">
        <v>24</v>
      </c>
      <c r="E23" s="396"/>
      <c r="F23" s="402" t="n">
        <v>4166.66</v>
      </c>
      <c r="G23" s="396"/>
      <c r="H23" s="400"/>
      <c r="I23" s="403" t="n">
        <v>1</v>
      </c>
      <c r="J23" s="404" t="n">
        <f aca="false">IF(N(D23)&gt;0,N(E23)/D23,0)+N(F23)</f>
        <v>4166.66</v>
      </c>
      <c r="K23" s="405" t="n">
        <f aca="false">(J23*N(D23)+N(G23))*IF(I23="",1,I23)</f>
        <v>99999.84</v>
      </c>
    </row>
    <row r="24" customFormat="false" ht="15" hidden="false" customHeight="true" outlineLevel="0" collapsed="false">
      <c r="A24" s="401" t="s">
        <v>8</v>
      </c>
      <c r="B24" s="393" t="s">
        <v>1343</v>
      </c>
      <c r="C24" s="394" t="n">
        <v>46266</v>
      </c>
      <c r="D24" s="400" t="n">
        <v>12</v>
      </c>
      <c r="E24" s="396"/>
      <c r="F24" s="402" t="n">
        <v>3332.72</v>
      </c>
      <c r="G24" s="396"/>
      <c r="H24" s="400"/>
      <c r="I24" s="403" t="n">
        <v>1</v>
      </c>
      <c r="J24" s="404" t="n">
        <f aca="false">IF(N(D24)&gt;0,N(E24)/D24,0)+N(F24)</f>
        <v>3332.72</v>
      </c>
      <c r="K24" s="405" t="n">
        <f aca="false">(J24*N(D24)+N(G24))*IF(I24="",1,I24)</f>
        <v>39992.64</v>
      </c>
    </row>
    <row r="25" customFormat="false" ht="15" hidden="false" customHeight="true" outlineLevel="0" collapsed="false">
      <c r="A25" s="401" t="s">
        <v>1344</v>
      </c>
      <c r="B25" s="393" t="s">
        <v>1343</v>
      </c>
      <c r="C25" s="394" t="n">
        <v>46357</v>
      </c>
      <c r="D25" s="400" t="n">
        <v>2</v>
      </c>
      <c r="E25" s="396"/>
      <c r="F25" s="402" t="n">
        <v>9750</v>
      </c>
      <c r="G25" s="396"/>
      <c r="H25" s="400"/>
      <c r="I25" s="403" t="n">
        <v>1</v>
      </c>
      <c r="J25" s="404" t="n">
        <f aca="false">IF(N(D25)&gt;0,N(E25)/D25,0)+N(F25)</f>
        <v>9750</v>
      </c>
      <c r="K25" s="405" t="n">
        <f aca="false">(J25*N(D25)+N(G25))*IF(I25="",1,I25)</f>
        <v>19500</v>
      </c>
    </row>
    <row r="26" customFormat="false" ht="15" hidden="false" customHeight="true" outlineLevel="0" collapsed="false">
      <c r="A26" s="406" t="s">
        <v>1345</v>
      </c>
      <c r="B26" s="393" t="s">
        <v>1343</v>
      </c>
      <c r="C26" s="394" t="n">
        <v>46539</v>
      </c>
      <c r="D26" s="400" t="n">
        <v>13</v>
      </c>
      <c r="E26" s="396"/>
      <c r="F26" s="402" t="n">
        <v>4166</v>
      </c>
      <c r="G26" s="396"/>
      <c r="H26" s="400"/>
      <c r="I26" s="403" t="n">
        <v>1</v>
      </c>
      <c r="J26" s="404" t="n">
        <f aca="false">IF(N(D26)&gt;0,N(E26)/D26,0)+N(F26)</f>
        <v>4166</v>
      </c>
      <c r="K26" s="405" t="n">
        <f aca="false">(J26*N(D26)+N(G26))*IF(I26="",1,I26)</f>
        <v>54158</v>
      </c>
    </row>
    <row r="27" customFormat="false" ht="15" hidden="false" customHeight="true" outlineLevel="0" collapsed="false">
      <c r="A27" s="406" t="s">
        <v>1346</v>
      </c>
      <c r="B27" s="393" t="s">
        <v>1347</v>
      </c>
      <c r="C27" s="394"/>
      <c r="D27" s="400"/>
      <c r="E27" s="396"/>
      <c r="F27" s="402"/>
      <c r="G27" s="396"/>
      <c r="H27" s="400"/>
      <c r="I27" s="403"/>
      <c r="J27" s="404" t="n">
        <f aca="false">IF(N(D27)&gt;0,N(E27)/D27,0)+N(F27)</f>
        <v>0</v>
      </c>
      <c r="K27" s="405" t="n">
        <f aca="false">(J27*N(D27)+N(G27))*IF(I27="",1,I27)</f>
        <v>0</v>
      </c>
    </row>
    <row r="28" customFormat="false" ht="15" hidden="false" customHeight="true" outlineLevel="0" collapsed="false">
      <c r="A28" s="406" t="s">
        <v>1348</v>
      </c>
      <c r="B28" s="393" t="s">
        <v>1347</v>
      </c>
      <c r="C28" s="394"/>
      <c r="D28" s="400"/>
      <c r="E28" s="396"/>
      <c r="F28" s="402"/>
      <c r="G28" s="396"/>
      <c r="H28" s="400"/>
      <c r="I28" s="403"/>
      <c r="J28" s="404" t="n">
        <f aca="false">IF(N(D28)&gt;0,N(E28)/D28,0)+N(F28)</f>
        <v>0</v>
      </c>
      <c r="K28" s="405" t="n">
        <f aca="false">(J28*N(D28)+N(G28))*IF(I28="",1,I28)</f>
        <v>0</v>
      </c>
    </row>
    <row r="29" customFormat="false" ht="15" hidden="false" customHeight="true" outlineLevel="0" collapsed="false">
      <c r="A29" s="406" t="s">
        <v>1349</v>
      </c>
      <c r="B29" s="393" t="s">
        <v>1347</v>
      </c>
      <c r="C29" s="394"/>
      <c r="D29" s="400"/>
      <c r="E29" s="396"/>
      <c r="F29" s="402"/>
      <c r="G29" s="396"/>
      <c r="H29" s="400"/>
      <c r="I29" s="403"/>
      <c r="J29" s="404" t="n">
        <f aca="false">IF(N(D29)&gt;0,N(E29)/D29,0)+N(F29)</f>
        <v>0</v>
      </c>
      <c r="K29" s="405" t="n">
        <f aca="false">(J29*N(D29)+N(G29))*IF(I29="",1,I29)</f>
        <v>0</v>
      </c>
    </row>
    <row r="30" customFormat="false" ht="15" hidden="false" customHeight="true" outlineLevel="0" collapsed="false">
      <c r="A30" s="406" t="s">
        <v>1350</v>
      </c>
      <c r="B30" s="393" t="s">
        <v>1347</v>
      </c>
      <c r="C30" s="394"/>
      <c r="D30" s="400"/>
      <c r="E30" s="396"/>
      <c r="F30" s="402"/>
      <c r="G30" s="396"/>
      <c r="H30" s="400"/>
      <c r="I30" s="403"/>
      <c r="J30" s="404" t="n">
        <f aca="false">IF(N(D30)&gt;0,N(E30)/D30,0)+N(F30)</f>
        <v>0</v>
      </c>
      <c r="K30" s="405" t="n">
        <f aca="false">(J30*N(D30)+N(G30))*IF(I30="",1,I30)</f>
        <v>0</v>
      </c>
    </row>
    <row r="31" customFormat="false" ht="15" hidden="false" customHeight="true" outlineLevel="0" collapsed="false">
      <c r="A31" s="406" t="s">
        <v>1351</v>
      </c>
      <c r="B31" s="393" t="s">
        <v>1347</v>
      </c>
      <c r="C31" s="394"/>
      <c r="D31" s="400"/>
      <c r="E31" s="396"/>
      <c r="F31" s="402"/>
      <c r="G31" s="396"/>
      <c r="H31" s="400"/>
      <c r="I31" s="403"/>
      <c r="J31" s="404" t="n">
        <f aca="false">IF(N(D31)&gt;0,N(E31)/D31,0)+N(F31)</f>
        <v>0</v>
      </c>
      <c r="K31" s="405" t="n">
        <f aca="false">(J31*N(D31)+N(G31))*IF(I31="",1,I31)</f>
        <v>0</v>
      </c>
    </row>
    <row r="32" customFormat="false" ht="15" hidden="false" customHeight="true" outlineLevel="0" collapsed="false">
      <c r="A32" s="383" t="s">
        <v>1352</v>
      </c>
      <c r="K32" s="407"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98437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1353</v>
      </c>
    </row>
    <row r="2" customFormat="false" ht="15" hidden="false" customHeight="true" outlineLevel="0" collapsed="false">
      <c r="A2" s="389" t="s">
        <v>1354</v>
      </c>
    </row>
    <row r="4" customFormat="false" ht="15" hidden="false" customHeight="true" outlineLevel="0" collapsed="false">
      <c r="A4" s="1" t="s">
        <v>1030</v>
      </c>
      <c r="B4" s="408" t="n">
        <f aca="false">DATE(2026,1,1)</f>
        <v>46023</v>
      </c>
      <c r="C4" s="408" t="n">
        <f aca="false">DATE(2026,2,1)</f>
        <v>46054</v>
      </c>
      <c r="D4" s="408" t="n">
        <f aca="false">DATE(2026,3,1)</f>
        <v>46082</v>
      </c>
      <c r="E4" s="408" t="n">
        <f aca="false">DATE(2026,4,1)</f>
        <v>46113</v>
      </c>
      <c r="F4" s="408" t="n">
        <f aca="false">DATE(2026,5,1)</f>
        <v>46143</v>
      </c>
      <c r="G4" s="408" t="n">
        <f aca="false">DATE(2026,6,1)</f>
        <v>46174</v>
      </c>
      <c r="H4" s="408" t="n">
        <f aca="false">DATE(2026,7,1)</f>
        <v>46204</v>
      </c>
      <c r="I4" s="408" t="n">
        <f aca="false">DATE(2026,8,1)</f>
        <v>46235</v>
      </c>
      <c r="J4" s="408" t="n">
        <f aca="false">DATE(2026,9,1)</f>
        <v>46266</v>
      </c>
      <c r="K4" s="408" t="n">
        <f aca="false">DATE(2026,10,1)</f>
        <v>46296</v>
      </c>
      <c r="L4" s="408" t="n">
        <f aca="false">DATE(2026,11,1)</f>
        <v>46327</v>
      </c>
      <c r="M4" s="408" t="n">
        <f aca="false">DATE(2026,12,1)</f>
        <v>46357</v>
      </c>
      <c r="N4" s="408" t="n">
        <f aca="false">DATE(2026,13,1)</f>
        <v>46388</v>
      </c>
      <c r="O4" s="408" t="n">
        <f aca="false">DATE(2026,14,1)</f>
        <v>46419</v>
      </c>
      <c r="P4" s="408" t="n">
        <f aca="false">DATE(2026,15,1)</f>
        <v>46447</v>
      </c>
      <c r="Q4" s="408" t="n">
        <f aca="false">DATE(2026,16,1)</f>
        <v>46478</v>
      </c>
      <c r="R4" s="408" t="n">
        <f aca="false">DATE(2026,17,1)</f>
        <v>46508</v>
      </c>
      <c r="S4" s="408" t="n">
        <f aca="false">DATE(2026,18,1)</f>
        <v>46539</v>
      </c>
      <c r="T4" s="408" t="n">
        <f aca="false">DATE(2026,19,1)</f>
        <v>46569</v>
      </c>
      <c r="U4" s="408" t="n">
        <f aca="false">DATE(2026,20,1)</f>
        <v>46600</v>
      </c>
      <c r="V4" s="408" t="n">
        <f aca="false">DATE(2026,21,1)</f>
        <v>46631</v>
      </c>
      <c r="W4" s="408" t="n">
        <f aca="false">DATE(2026,22,1)</f>
        <v>46661</v>
      </c>
      <c r="X4" s="408" t="n">
        <f aca="false">DATE(2026,23,1)</f>
        <v>46692</v>
      </c>
      <c r="Y4" s="408" t="n">
        <f aca="false">DATE(2026,24,1)</f>
        <v>46722</v>
      </c>
      <c r="Z4" s="408" t="n">
        <f aca="false">DATE(2026,25,1)</f>
        <v>46753</v>
      </c>
      <c r="AA4" s="408" t="n">
        <f aca="false">DATE(2026,26,1)</f>
        <v>46784</v>
      </c>
      <c r="AB4" s="408" t="n">
        <f aca="false">DATE(2026,27,1)</f>
        <v>46813</v>
      </c>
      <c r="AC4" s="408" t="n">
        <f aca="false">DATE(2026,28,1)</f>
        <v>46844</v>
      </c>
      <c r="AD4" s="408" t="n">
        <f aca="false">DATE(2026,29,1)</f>
        <v>46874</v>
      </c>
      <c r="AE4" s="408" t="n">
        <f aca="false">DATE(2026,30,1)</f>
        <v>46905</v>
      </c>
      <c r="AF4" s="408" t="n">
        <f aca="false">DATE(2026,31,1)</f>
        <v>46935</v>
      </c>
      <c r="AG4" s="408" t="n">
        <f aca="false">DATE(2026,32,1)</f>
        <v>46966</v>
      </c>
      <c r="AH4" s="408" t="n">
        <f aca="false">DATE(2026,33,1)</f>
        <v>46997</v>
      </c>
      <c r="AI4" s="408" t="n">
        <f aca="false">DATE(2026,34,1)</f>
        <v>47027</v>
      </c>
      <c r="AJ4" s="408" t="n">
        <f aca="false">DATE(2026,35,1)</f>
        <v>47058</v>
      </c>
      <c r="AK4" s="408" t="n">
        <f aca="false">DATE(2026,36,1)</f>
        <v>47088</v>
      </c>
      <c r="AL4" s="408" t="n">
        <f aca="false">DATE(2026,37,1)</f>
        <v>47119</v>
      </c>
      <c r="AM4" s="408" t="n">
        <f aca="false">DATE(2026,38,1)</f>
        <v>47150</v>
      </c>
      <c r="AN4" s="408" t="n">
        <f aca="false">DATE(2026,39,1)</f>
        <v>47178</v>
      </c>
      <c r="AO4" s="408" t="n">
        <f aca="false">DATE(2026,40,1)</f>
        <v>47209</v>
      </c>
      <c r="AP4" s="408" t="n">
        <f aca="false">DATE(2026,41,1)</f>
        <v>47239</v>
      </c>
      <c r="AQ4" s="408" t="n">
        <f aca="false">DATE(2026,42,1)</f>
        <v>47270</v>
      </c>
      <c r="AR4" s="408" t="n">
        <f aca="false">DATE(2026,43,1)</f>
        <v>47300</v>
      </c>
      <c r="AS4" s="408" t="n">
        <f aca="false">DATE(2026,44,1)</f>
        <v>47331</v>
      </c>
      <c r="AT4" s="408" t="n">
        <f aca="false">DATE(2026,45,1)</f>
        <v>47362</v>
      </c>
      <c r="AU4" s="408" t="n">
        <f aca="false">DATE(2026,46,1)</f>
        <v>47392</v>
      </c>
      <c r="AV4" s="408" t="n">
        <f aca="false">DATE(2026,47,1)</f>
        <v>47423</v>
      </c>
      <c r="AW4" s="408" t="n">
        <f aca="false">DATE(2026,48,1)</f>
        <v>47453</v>
      </c>
      <c r="AX4" s="408" t="n">
        <f aca="false">DATE(2026,49,1)</f>
        <v>47484</v>
      </c>
      <c r="AY4" s="408" t="n">
        <f aca="false">DATE(2026,50,1)</f>
        <v>47515</v>
      </c>
      <c r="AZ4" s="408" t="n">
        <f aca="false">DATE(2026,51,1)</f>
        <v>47543</v>
      </c>
      <c r="BA4" s="408" t="n">
        <f aca="false">DATE(2026,52,1)</f>
        <v>47574</v>
      </c>
      <c r="BB4" s="408" t="n">
        <f aca="false">DATE(2026,53,1)</f>
        <v>47604</v>
      </c>
      <c r="BC4" s="408" t="n">
        <f aca="false">DATE(2026,54,1)</f>
        <v>47635</v>
      </c>
      <c r="BD4" s="408" t="n">
        <f aca="false">DATE(2026,55,1)</f>
        <v>47665</v>
      </c>
      <c r="BE4" s="408" t="n">
        <f aca="false">DATE(2026,56,1)</f>
        <v>47696</v>
      </c>
      <c r="BF4" s="408" t="n">
        <f aca="false">DATE(2026,57,1)</f>
        <v>47727</v>
      </c>
      <c r="BG4" s="408" t="n">
        <f aca="false">DATE(2026,58,1)</f>
        <v>47757</v>
      </c>
      <c r="BH4" s="408" t="n">
        <f aca="false">DATE(2026,59,1)</f>
        <v>47788</v>
      </c>
      <c r="BI4" s="408" t="n">
        <f aca="false">DATE(2026,60,1)</f>
        <v>47818</v>
      </c>
      <c r="BJ4" s="408" t="n">
        <f aca="false">DATE(2026,61,1)</f>
        <v>47849</v>
      </c>
      <c r="BK4" s="408" t="n">
        <f aca="false">DATE(2026,62,1)</f>
        <v>47880</v>
      </c>
      <c r="BL4" s="408" t="n">
        <f aca="false">DATE(2026,63,1)</f>
        <v>47908</v>
      </c>
      <c r="BM4" s="408" t="n">
        <f aca="false">DATE(2026,64,1)</f>
        <v>47939</v>
      </c>
      <c r="BN4" s="408" t="n">
        <f aca="false">DATE(2026,65,1)</f>
        <v>47969</v>
      </c>
      <c r="BO4" s="408" t="n">
        <f aca="false">DATE(2026,66,1)</f>
        <v>48000</v>
      </c>
      <c r="BP4" s="408" t="n">
        <f aca="false">DATE(2026,67,1)</f>
        <v>48030</v>
      </c>
      <c r="BQ4" s="408" t="n">
        <f aca="false">DATE(2026,68,1)</f>
        <v>48061</v>
      </c>
      <c r="BR4" s="408" t="n">
        <f aca="false">DATE(2026,69,1)</f>
        <v>48092</v>
      </c>
      <c r="BS4" s="408" t="n">
        <f aca="false">DATE(2026,70,1)</f>
        <v>48122</v>
      </c>
      <c r="BT4" s="408" t="n">
        <f aca="false">DATE(2026,71,1)</f>
        <v>48153</v>
      </c>
      <c r="BU4" s="408" t="n">
        <f aca="false">DATE(2026,72,1)</f>
        <v>48183</v>
      </c>
      <c r="BV4" s="408" t="n">
        <f aca="false">DATE(2026,73,1)</f>
        <v>48214</v>
      </c>
      <c r="BW4" s="408" t="n">
        <f aca="false">DATE(2026,74,1)</f>
        <v>48245</v>
      </c>
      <c r="BX4" s="408" t="n">
        <f aca="false">DATE(2026,75,1)</f>
        <v>48274</v>
      </c>
      <c r="BY4" s="408" t="n">
        <f aca="false">DATE(2026,76,1)</f>
        <v>48305</v>
      </c>
      <c r="BZ4" s="408" t="n">
        <f aca="false">DATE(2026,77,1)</f>
        <v>48335</v>
      </c>
      <c r="CA4" s="408" t="n">
        <f aca="false">DATE(2026,78,1)</f>
        <v>48366</v>
      </c>
      <c r="CB4" s="408" t="n">
        <f aca="false">DATE(2026,79,1)</f>
        <v>48396</v>
      </c>
      <c r="CC4" s="408" t="n">
        <f aca="false">DATE(2026,80,1)</f>
        <v>48427</v>
      </c>
      <c r="CD4" s="408" t="n">
        <f aca="false">DATE(2026,81,1)</f>
        <v>48458</v>
      </c>
      <c r="CE4" s="408" t="n">
        <f aca="false">DATE(2026,82,1)</f>
        <v>48488</v>
      </c>
      <c r="CF4" s="408" t="n">
        <f aca="false">DATE(2026,83,1)</f>
        <v>48519</v>
      </c>
      <c r="CG4" s="408" t="n">
        <f aca="false">DATE(2026,84,1)</f>
        <v>48549</v>
      </c>
      <c r="CH4" s="408" t="n">
        <f aca="false">DATE(2026,85,1)</f>
        <v>48580</v>
      </c>
      <c r="CI4" s="408" t="n">
        <f aca="false">DATE(2026,86,1)</f>
        <v>48611</v>
      </c>
      <c r="CJ4" s="408" t="n">
        <f aca="false">DATE(2026,87,1)</f>
        <v>48639</v>
      </c>
      <c r="CK4" s="408" t="n">
        <f aca="false">DATE(2026,88,1)</f>
        <v>48670</v>
      </c>
      <c r="CL4" s="408" t="n">
        <f aca="false">DATE(2026,89,1)</f>
        <v>48700</v>
      </c>
      <c r="CM4" s="408" t="n">
        <f aca="false">DATE(2026,90,1)</f>
        <v>48731</v>
      </c>
      <c r="CN4" s="408" t="n">
        <f aca="false">DATE(2026,91,1)</f>
        <v>48761</v>
      </c>
      <c r="CO4" s="408" t="n">
        <f aca="false">DATE(2026,92,1)</f>
        <v>48792</v>
      </c>
      <c r="CP4" s="408" t="n">
        <f aca="false">DATE(2026,93,1)</f>
        <v>48823</v>
      </c>
      <c r="CQ4" s="408" t="n">
        <f aca="false">DATE(2026,94,1)</f>
        <v>48853</v>
      </c>
      <c r="CR4" s="408" t="n">
        <f aca="false">DATE(2026,95,1)</f>
        <v>48884</v>
      </c>
      <c r="CS4" s="408" t="n">
        <f aca="false">DATE(2026,96,1)</f>
        <v>48914</v>
      </c>
      <c r="CT4" s="408" t="n">
        <f aca="false">DATE(2026,97,1)</f>
        <v>48945</v>
      </c>
      <c r="CU4" s="408" t="n">
        <f aca="false">DATE(2026,98,1)</f>
        <v>48976</v>
      </c>
      <c r="CV4" s="408" t="n">
        <f aca="false">DATE(2026,99,1)</f>
        <v>49004</v>
      </c>
      <c r="CW4" s="408" t="n">
        <f aca="false">DATE(2026,100,1)</f>
        <v>49035</v>
      </c>
      <c r="CX4" s="408" t="n">
        <f aca="false">DATE(2026,101,1)</f>
        <v>49065</v>
      </c>
      <c r="CY4" s="408" t="n">
        <f aca="false">DATE(2026,102,1)</f>
        <v>49096</v>
      </c>
      <c r="CZ4" s="408" t="n">
        <f aca="false">DATE(2026,103,1)</f>
        <v>49126</v>
      </c>
      <c r="DA4" s="408" t="n">
        <f aca="false">DATE(2026,104,1)</f>
        <v>49157</v>
      </c>
      <c r="DB4" s="408" t="n">
        <f aca="false">DATE(2026,105,1)</f>
        <v>49188</v>
      </c>
      <c r="DC4" s="408" t="n">
        <f aca="false">DATE(2026,106,1)</f>
        <v>49218</v>
      </c>
      <c r="DD4" s="408" t="n">
        <f aca="false">DATE(2026,107,1)</f>
        <v>49249</v>
      </c>
      <c r="DE4" s="408" t="n">
        <f aca="false">DATE(2026,108,1)</f>
        <v>49279</v>
      </c>
    </row>
    <row r="5" customFormat="false" ht="15" hidden="false" customHeight="true" outlineLevel="0" collapsed="false">
      <c r="A5" s="1" t="s">
        <v>1355</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1356</v>
      </c>
    </row>
    <row r="7" customFormat="false" ht="15" hidden="false" customHeight="true" outlineLevel="0" collapsed="false">
      <c r="A7" s="1" t="str">
        <f aca="false">'APA Inputs'!A22</f>
        <v>Reseda</v>
      </c>
      <c r="B7" s="409" t="n">
        <f aca="false">IF('APA Inputs'!$C$22="",0,(IF(AND(B$4&gt;='APA Inputs'!$C$22,B$4&lt;EDATE('APA Inputs'!$C$22,N('APA Inputs'!$D$22))),'APA Inputs'!$J$22,0)+IF(N('APA Inputs'!$H$22)&gt;0,IF(B$4=EDATE('APA Inputs'!$C$22,'APA Inputs'!$H$22-1),N('APA Inputs'!$G$22),0),0))*IF('APA Inputs'!$I$22="",1,'APA Inputs'!$I$22))</f>
        <v>0</v>
      </c>
      <c r="C7" s="409" t="n">
        <f aca="false">IF('APA Inputs'!$C$22="",0,(IF(AND(C$4&gt;='APA Inputs'!$C$22,C$4&lt;EDATE('APA Inputs'!$C$22,N('APA Inputs'!$D$22))),'APA Inputs'!$J$22,0)+IF(N('APA Inputs'!$H$22)&gt;0,IF(C$4=EDATE('APA Inputs'!$C$22,'APA Inputs'!$H$22-1),N('APA Inputs'!$G$22),0),0))*IF('APA Inputs'!$I$22="",1,'APA Inputs'!$I$22))</f>
        <v>0</v>
      </c>
      <c r="D7" s="409" t="n">
        <f aca="false">IF('APA Inputs'!$C$22="",0,(IF(AND(D$4&gt;='APA Inputs'!$C$22,D$4&lt;EDATE('APA Inputs'!$C$22,N('APA Inputs'!$D$22))),'APA Inputs'!$J$22,0)+IF(N('APA Inputs'!$H$22)&gt;0,IF(D$4=EDATE('APA Inputs'!$C$22,'APA Inputs'!$H$22-1),N('APA Inputs'!$G$22),0),0))*IF('APA Inputs'!$I$22="",1,'APA Inputs'!$I$22))</f>
        <v>0</v>
      </c>
      <c r="E7" s="409" t="n">
        <f aca="false">IF('APA Inputs'!$C$22="",0,(IF(AND(E$4&gt;='APA Inputs'!$C$22,E$4&lt;EDATE('APA Inputs'!$C$22,N('APA Inputs'!$D$22))),'APA Inputs'!$J$22,0)+IF(N('APA Inputs'!$H$22)&gt;0,IF(E$4=EDATE('APA Inputs'!$C$22,'APA Inputs'!$H$22-1),N('APA Inputs'!$G$22),0),0))*IF('APA Inputs'!$I$22="",1,'APA Inputs'!$I$22))</f>
        <v>0</v>
      </c>
      <c r="F7" s="409" t="n">
        <f aca="false">IF('APA Inputs'!$C$22="",0,(IF(AND(F$4&gt;='APA Inputs'!$C$22,F$4&lt;EDATE('APA Inputs'!$C$22,N('APA Inputs'!$D$22))),'APA Inputs'!$J$22,0)+IF(N('APA Inputs'!$H$22)&gt;0,IF(F$4=EDATE('APA Inputs'!$C$22,'APA Inputs'!$H$22-1),N('APA Inputs'!$G$22),0),0))*IF('APA Inputs'!$I$22="",1,'APA Inputs'!$I$22))</f>
        <v>0</v>
      </c>
      <c r="G7" s="409" t="n">
        <f aca="false">IF('APA Inputs'!$C$22="",0,(IF(AND(G$4&gt;='APA Inputs'!$C$22,G$4&lt;EDATE('APA Inputs'!$C$22,N('APA Inputs'!$D$22))),'APA Inputs'!$J$22,0)+IF(N('APA Inputs'!$H$22)&gt;0,IF(G$4=EDATE('APA Inputs'!$C$22,'APA Inputs'!$H$22-1),N('APA Inputs'!$G$22),0),0))*IF('APA Inputs'!$I$22="",1,'APA Inputs'!$I$22))</f>
        <v>0</v>
      </c>
      <c r="H7" s="409" t="n">
        <f aca="false">IF('APA Inputs'!$C$22="",0,(IF(AND(H$4&gt;='APA Inputs'!$C$22,H$4&lt;EDATE('APA Inputs'!$C$22,N('APA Inputs'!$D$22))),'APA Inputs'!$J$22,0)+IF(N('APA Inputs'!$H$22)&gt;0,IF(H$4=EDATE('APA Inputs'!$C$22,'APA Inputs'!$H$22-1),N('APA Inputs'!$G$22),0),0))*IF('APA Inputs'!$I$22="",1,'APA Inputs'!$I$22))</f>
        <v>10000</v>
      </c>
      <c r="I7" s="409" t="n">
        <f aca="false">IF('APA Inputs'!$C$22="",0,(IF(AND(I$4&gt;='APA Inputs'!$C$22,I$4&lt;EDATE('APA Inputs'!$C$22,N('APA Inputs'!$D$22))),'APA Inputs'!$J$22,0)+IF(N('APA Inputs'!$H$22)&gt;0,IF(I$4=EDATE('APA Inputs'!$C$22,'APA Inputs'!$H$22-1),N('APA Inputs'!$G$22),0),0))*IF('APA Inputs'!$I$22="",1,'APA Inputs'!$I$22))</f>
        <v>10000</v>
      </c>
      <c r="J7" s="409" t="n">
        <f aca="false">IF('APA Inputs'!$C$22="",0,(IF(AND(J$4&gt;='APA Inputs'!$C$22,J$4&lt;EDATE('APA Inputs'!$C$22,N('APA Inputs'!$D$22))),'APA Inputs'!$J$22,0)+IF(N('APA Inputs'!$H$22)&gt;0,IF(J$4=EDATE('APA Inputs'!$C$22,'APA Inputs'!$H$22-1),N('APA Inputs'!$G$22),0),0))*IF('APA Inputs'!$I$22="",1,'APA Inputs'!$I$22))</f>
        <v>10000</v>
      </c>
      <c r="K7" s="409" t="n">
        <f aca="false">IF('APA Inputs'!$C$22="",0,(IF(AND(K$4&gt;='APA Inputs'!$C$22,K$4&lt;EDATE('APA Inputs'!$C$22,N('APA Inputs'!$D$22))),'APA Inputs'!$J$22,0)+IF(N('APA Inputs'!$H$22)&gt;0,IF(K$4=EDATE('APA Inputs'!$C$22,'APA Inputs'!$H$22-1),N('APA Inputs'!$G$22),0),0))*IF('APA Inputs'!$I$22="",1,'APA Inputs'!$I$22))</f>
        <v>10000</v>
      </c>
      <c r="L7" s="409" t="n">
        <f aca="false">IF('APA Inputs'!$C$22="",0,(IF(AND(L$4&gt;='APA Inputs'!$C$22,L$4&lt;EDATE('APA Inputs'!$C$22,N('APA Inputs'!$D$22))),'APA Inputs'!$J$22,0)+IF(N('APA Inputs'!$H$22)&gt;0,IF(L$4=EDATE('APA Inputs'!$C$22,'APA Inputs'!$H$22-1),N('APA Inputs'!$G$22),0),0))*IF('APA Inputs'!$I$22="",1,'APA Inputs'!$I$22))</f>
        <v>10000</v>
      </c>
      <c r="M7" s="409" t="n">
        <f aca="false">IF('APA Inputs'!$C$22="",0,(IF(AND(M$4&gt;='APA Inputs'!$C$22,M$4&lt;EDATE('APA Inputs'!$C$22,N('APA Inputs'!$D$22))),'APA Inputs'!$J$22,0)+IF(N('APA Inputs'!$H$22)&gt;0,IF(M$4=EDATE('APA Inputs'!$C$22,'APA Inputs'!$H$22-1),N('APA Inputs'!$G$22),0),0))*IF('APA Inputs'!$I$22="",1,'APA Inputs'!$I$22))</f>
        <v>10000</v>
      </c>
      <c r="N7" s="409" t="n">
        <f aca="false">IF('APA Inputs'!$C$22="",0,(IF(AND(N$4&gt;='APA Inputs'!$C$22,N$4&lt;EDATE('APA Inputs'!$C$22,N('APA Inputs'!$D$22))),'APA Inputs'!$J$22,0)+IF(N('APA Inputs'!$H$22)&gt;0,IF(N$4=EDATE('APA Inputs'!$C$22,'APA Inputs'!$H$22-1),N('APA Inputs'!$G$22),0),0))*IF('APA Inputs'!$I$22="",1,'APA Inputs'!$I$22))</f>
        <v>16666.66</v>
      </c>
      <c r="O7" s="409" t="n">
        <f aca="false">IF('APA Inputs'!$C$22="",0,(IF(AND(O$4&gt;='APA Inputs'!$C$22,O$4&lt;EDATE('APA Inputs'!$C$22,N('APA Inputs'!$D$22))),'APA Inputs'!$J$22,0)+IF(N('APA Inputs'!$H$22)&gt;0,IF(O$4=EDATE('APA Inputs'!$C$22,'APA Inputs'!$H$22-1),N('APA Inputs'!$G$22),0),0))*IF('APA Inputs'!$I$22="",1,'APA Inputs'!$I$22))</f>
        <v>10000</v>
      </c>
      <c r="P7" s="409" t="n">
        <f aca="false">IF('APA Inputs'!$C$22="",0,(IF(AND(P$4&gt;='APA Inputs'!$C$22,P$4&lt;EDATE('APA Inputs'!$C$22,N('APA Inputs'!$D$22))),'APA Inputs'!$J$22,0)+IF(N('APA Inputs'!$H$22)&gt;0,IF(P$4=EDATE('APA Inputs'!$C$22,'APA Inputs'!$H$22-1),N('APA Inputs'!$G$22),0),0))*IF('APA Inputs'!$I$22="",1,'APA Inputs'!$I$22))</f>
        <v>10000</v>
      </c>
      <c r="Q7" s="409" t="n">
        <f aca="false">IF('APA Inputs'!$C$22="",0,(IF(AND(Q$4&gt;='APA Inputs'!$C$22,Q$4&lt;EDATE('APA Inputs'!$C$22,N('APA Inputs'!$D$22))),'APA Inputs'!$J$22,0)+IF(N('APA Inputs'!$H$22)&gt;0,IF(Q$4=EDATE('APA Inputs'!$C$22,'APA Inputs'!$H$22-1),N('APA Inputs'!$G$22),0),0))*IF('APA Inputs'!$I$22="",1,'APA Inputs'!$I$22))</f>
        <v>10000</v>
      </c>
      <c r="R7" s="409" t="n">
        <f aca="false">IF('APA Inputs'!$C$22="",0,(IF(AND(R$4&gt;='APA Inputs'!$C$22,R$4&lt;EDATE('APA Inputs'!$C$22,N('APA Inputs'!$D$22))),'APA Inputs'!$J$22,0)+IF(N('APA Inputs'!$H$22)&gt;0,IF(R$4=EDATE('APA Inputs'!$C$22,'APA Inputs'!$H$22-1),N('APA Inputs'!$G$22),0),0))*IF('APA Inputs'!$I$22="",1,'APA Inputs'!$I$22))</f>
        <v>10000</v>
      </c>
      <c r="S7" s="409" t="n">
        <f aca="false">IF('APA Inputs'!$C$22="",0,(IF(AND(S$4&gt;='APA Inputs'!$C$22,S$4&lt;EDATE('APA Inputs'!$C$22,N('APA Inputs'!$D$22))),'APA Inputs'!$J$22,0)+IF(N('APA Inputs'!$H$22)&gt;0,IF(S$4=EDATE('APA Inputs'!$C$22,'APA Inputs'!$H$22-1),N('APA Inputs'!$G$22),0),0))*IF('APA Inputs'!$I$22="",1,'APA Inputs'!$I$22))</f>
        <v>0</v>
      </c>
      <c r="T7" s="409" t="n">
        <f aca="false">IF('APA Inputs'!$C$22="",0,(IF(AND(T$4&gt;='APA Inputs'!$C$22,T$4&lt;EDATE('APA Inputs'!$C$22,N('APA Inputs'!$D$22))),'APA Inputs'!$J$22,0)+IF(N('APA Inputs'!$H$22)&gt;0,IF(T$4=EDATE('APA Inputs'!$C$22,'APA Inputs'!$H$22-1),N('APA Inputs'!$G$22),0),0))*IF('APA Inputs'!$I$22="",1,'APA Inputs'!$I$22))</f>
        <v>0</v>
      </c>
      <c r="U7" s="409" t="n">
        <f aca="false">IF('APA Inputs'!$C$22="",0,(IF(AND(U$4&gt;='APA Inputs'!$C$22,U$4&lt;EDATE('APA Inputs'!$C$22,N('APA Inputs'!$D$22))),'APA Inputs'!$J$22,0)+IF(N('APA Inputs'!$H$22)&gt;0,IF(U$4=EDATE('APA Inputs'!$C$22,'APA Inputs'!$H$22-1),N('APA Inputs'!$G$22),0),0))*IF('APA Inputs'!$I$22="",1,'APA Inputs'!$I$22))</f>
        <v>0</v>
      </c>
      <c r="V7" s="409" t="n">
        <f aca="false">IF('APA Inputs'!$C$22="",0,(IF(AND(V$4&gt;='APA Inputs'!$C$22,V$4&lt;EDATE('APA Inputs'!$C$22,N('APA Inputs'!$D$22))),'APA Inputs'!$J$22,0)+IF(N('APA Inputs'!$H$22)&gt;0,IF(V$4=EDATE('APA Inputs'!$C$22,'APA Inputs'!$H$22-1),N('APA Inputs'!$G$22),0),0))*IF('APA Inputs'!$I$22="",1,'APA Inputs'!$I$22))</f>
        <v>0</v>
      </c>
      <c r="W7" s="409" t="n">
        <f aca="false">IF('APA Inputs'!$C$22="",0,(IF(AND(W$4&gt;='APA Inputs'!$C$22,W$4&lt;EDATE('APA Inputs'!$C$22,N('APA Inputs'!$D$22))),'APA Inputs'!$J$22,0)+IF(N('APA Inputs'!$H$22)&gt;0,IF(W$4=EDATE('APA Inputs'!$C$22,'APA Inputs'!$H$22-1),N('APA Inputs'!$G$22),0),0))*IF('APA Inputs'!$I$22="",1,'APA Inputs'!$I$22))</f>
        <v>0</v>
      </c>
      <c r="X7" s="409" t="n">
        <f aca="false">IF('APA Inputs'!$C$22="",0,(IF(AND(X$4&gt;='APA Inputs'!$C$22,X$4&lt;EDATE('APA Inputs'!$C$22,N('APA Inputs'!$D$22))),'APA Inputs'!$J$22,0)+IF(N('APA Inputs'!$H$22)&gt;0,IF(X$4=EDATE('APA Inputs'!$C$22,'APA Inputs'!$H$22-1),N('APA Inputs'!$G$22),0),0))*IF('APA Inputs'!$I$22="",1,'APA Inputs'!$I$22))</f>
        <v>0</v>
      </c>
      <c r="Y7" s="409" t="n">
        <f aca="false">IF('APA Inputs'!$C$22="",0,(IF(AND(Y$4&gt;='APA Inputs'!$C$22,Y$4&lt;EDATE('APA Inputs'!$C$22,N('APA Inputs'!$D$22))),'APA Inputs'!$J$22,0)+IF(N('APA Inputs'!$H$22)&gt;0,IF(Y$4=EDATE('APA Inputs'!$C$22,'APA Inputs'!$H$22-1),N('APA Inputs'!$G$22),0),0))*IF('APA Inputs'!$I$22="",1,'APA Inputs'!$I$22))</f>
        <v>0</v>
      </c>
      <c r="Z7" s="409" t="n">
        <f aca="false">IF('APA Inputs'!$C$22="",0,(IF(AND(Z$4&gt;='APA Inputs'!$C$22,Z$4&lt;EDATE('APA Inputs'!$C$22,N('APA Inputs'!$D$22))),'APA Inputs'!$J$22,0)+IF(N('APA Inputs'!$H$22)&gt;0,IF(Z$4=EDATE('APA Inputs'!$C$22,'APA Inputs'!$H$22-1),N('APA Inputs'!$G$22),0),0))*IF('APA Inputs'!$I$22="",1,'APA Inputs'!$I$22))</f>
        <v>0</v>
      </c>
      <c r="AA7" s="409" t="n">
        <f aca="false">IF('APA Inputs'!$C$22="",0,(IF(AND(AA$4&gt;='APA Inputs'!$C$22,AA$4&lt;EDATE('APA Inputs'!$C$22,N('APA Inputs'!$D$22))),'APA Inputs'!$J$22,0)+IF(N('APA Inputs'!$H$22)&gt;0,IF(AA$4=EDATE('APA Inputs'!$C$22,'APA Inputs'!$H$22-1),N('APA Inputs'!$G$22),0),0))*IF('APA Inputs'!$I$22="",1,'APA Inputs'!$I$22))</f>
        <v>0</v>
      </c>
      <c r="AB7" s="409" t="n">
        <f aca="false">IF('APA Inputs'!$C$22="",0,(IF(AND(AB$4&gt;='APA Inputs'!$C$22,AB$4&lt;EDATE('APA Inputs'!$C$22,N('APA Inputs'!$D$22))),'APA Inputs'!$J$22,0)+IF(N('APA Inputs'!$H$22)&gt;0,IF(AB$4=EDATE('APA Inputs'!$C$22,'APA Inputs'!$H$22-1),N('APA Inputs'!$G$22),0),0))*IF('APA Inputs'!$I$22="",1,'APA Inputs'!$I$22))</f>
        <v>0</v>
      </c>
      <c r="AC7" s="409" t="n">
        <f aca="false">IF('APA Inputs'!$C$22="",0,(IF(AND(AC$4&gt;='APA Inputs'!$C$22,AC$4&lt;EDATE('APA Inputs'!$C$22,N('APA Inputs'!$D$22))),'APA Inputs'!$J$22,0)+IF(N('APA Inputs'!$H$22)&gt;0,IF(AC$4=EDATE('APA Inputs'!$C$22,'APA Inputs'!$H$22-1),N('APA Inputs'!$G$22),0),0))*IF('APA Inputs'!$I$22="",1,'APA Inputs'!$I$22))</f>
        <v>0</v>
      </c>
      <c r="AD7" s="409" t="n">
        <f aca="false">IF('APA Inputs'!$C$22="",0,(IF(AND(AD$4&gt;='APA Inputs'!$C$22,AD$4&lt;EDATE('APA Inputs'!$C$22,N('APA Inputs'!$D$22))),'APA Inputs'!$J$22,0)+IF(N('APA Inputs'!$H$22)&gt;0,IF(AD$4=EDATE('APA Inputs'!$C$22,'APA Inputs'!$H$22-1),N('APA Inputs'!$G$22),0),0))*IF('APA Inputs'!$I$22="",1,'APA Inputs'!$I$22))</f>
        <v>0</v>
      </c>
      <c r="AE7" s="409" t="n">
        <f aca="false">IF('APA Inputs'!$C$22="",0,(IF(AND(AE$4&gt;='APA Inputs'!$C$22,AE$4&lt;EDATE('APA Inputs'!$C$22,N('APA Inputs'!$D$22))),'APA Inputs'!$J$22,0)+IF(N('APA Inputs'!$H$22)&gt;0,IF(AE$4=EDATE('APA Inputs'!$C$22,'APA Inputs'!$H$22-1),N('APA Inputs'!$G$22),0),0))*IF('APA Inputs'!$I$22="",1,'APA Inputs'!$I$22))</f>
        <v>0</v>
      </c>
      <c r="AF7" s="409" t="n">
        <f aca="false">IF('APA Inputs'!$C$22="",0,(IF(AND(AF$4&gt;='APA Inputs'!$C$22,AF$4&lt;EDATE('APA Inputs'!$C$22,N('APA Inputs'!$D$22))),'APA Inputs'!$J$22,0)+IF(N('APA Inputs'!$H$22)&gt;0,IF(AF$4=EDATE('APA Inputs'!$C$22,'APA Inputs'!$H$22-1),N('APA Inputs'!$G$22),0),0))*IF('APA Inputs'!$I$22="",1,'APA Inputs'!$I$22))</f>
        <v>0</v>
      </c>
      <c r="AG7" s="409" t="n">
        <f aca="false">IF('APA Inputs'!$C$22="",0,(IF(AND(AG$4&gt;='APA Inputs'!$C$22,AG$4&lt;EDATE('APA Inputs'!$C$22,N('APA Inputs'!$D$22))),'APA Inputs'!$J$22,0)+IF(N('APA Inputs'!$H$22)&gt;0,IF(AG$4=EDATE('APA Inputs'!$C$22,'APA Inputs'!$H$22-1),N('APA Inputs'!$G$22),0),0))*IF('APA Inputs'!$I$22="",1,'APA Inputs'!$I$22))</f>
        <v>0</v>
      </c>
      <c r="AH7" s="409" t="n">
        <f aca="false">IF('APA Inputs'!$C$22="",0,(IF(AND(AH$4&gt;='APA Inputs'!$C$22,AH$4&lt;EDATE('APA Inputs'!$C$22,N('APA Inputs'!$D$22))),'APA Inputs'!$J$22,0)+IF(N('APA Inputs'!$H$22)&gt;0,IF(AH$4=EDATE('APA Inputs'!$C$22,'APA Inputs'!$H$22-1),N('APA Inputs'!$G$22),0),0))*IF('APA Inputs'!$I$22="",1,'APA Inputs'!$I$22))</f>
        <v>0</v>
      </c>
      <c r="AI7" s="409" t="n">
        <f aca="false">IF('APA Inputs'!$C$22="",0,(IF(AND(AI$4&gt;='APA Inputs'!$C$22,AI$4&lt;EDATE('APA Inputs'!$C$22,N('APA Inputs'!$D$22))),'APA Inputs'!$J$22,0)+IF(N('APA Inputs'!$H$22)&gt;0,IF(AI$4=EDATE('APA Inputs'!$C$22,'APA Inputs'!$H$22-1),N('APA Inputs'!$G$22),0),0))*IF('APA Inputs'!$I$22="",1,'APA Inputs'!$I$22))</f>
        <v>0</v>
      </c>
      <c r="AJ7" s="409" t="n">
        <f aca="false">IF('APA Inputs'!$C$22="",0,(IF(AND(AJ$4&gt;='APA Inputs'!$C$22,AJ$4&lt;EDATE('APA Inputs'!$C$22,N('APA Inputs'!$D$22))),'APA Inputs'!$J$22,0)+IF(N('APA Inputs'!$H$22)&gt;0,IF(AJ$4=EDATE('APA Inputs'!$C$22,'APA Inputs'!$H$22-1),N('APA Inputs'!$G$22),0),0))*IF('APA Inputs'!$I$22="",1,'APA Inputs'!$I$22))</f>
        <v>0</v>
      </c>
      <c r="AK7" s="409" t="n">
        <f aca="false">IF('APA Inputs'!$C$22="",0,(IF(AND(AK$4&gt;='APA Inputs'!$C$22,AK$4&lt;EDATE('APA Inputs'!$C$22,N('APA Inputs'!$D$22))),'APA Inputs'!$J$22,0)+IF(N('APA Inputs'!$H$22)&gt;0,IF(AK$4=EDATE('APA Inputs'!$C$22,'APA Inputs'!$H$22-1),N('APA Inputs'!$G$22),0),0))*IF('APA Inputs'!$I$22="",1,'APA Inputs'!$I$22))</f>
        <v>0</v>
      </c>
      <c r="AL7" s="409" t="n">
        <f aca="false">IF('APA Inputs'!$C$22="",0,(IF(AND(AL$4&gt;='APA Inputs'!$C$22,AL$4&lt;EDATE('APA Inputs'!$C$22,N('APA Inputs'!$D$22))),'APA Inputs'!$J$22,0)+IF(N('APA Inputs'!$H$22)&gt;0,IF(AL$4=EDATE('APA Inputs'!$C$22,'APA Inputs'!$H$22-1),N('APA Inputs'!$G$22),0),0))*IF('APA Inputs'!$I$22="",1,'APA Inputs'!$I$22))</f>
        <v>0</v>
      </c>
      <c r="AM7" s="409" t="n">
        <f aca="false">IF('APA Inputs'!$C$22="",0,(IF(AND(AM$4&gt;='APA Inputs'!$C$22,AM$4&lt;EDATE('APA Inputs'!$C$22,N('APA Inputs'!$D$22))),'APA Inputs'!$J$22,0)+IF(N('APA Inputs'!$H$22)&gt;0,IF(AM$4=EDATE('APA Inputs'!$C$22,'APA Inputs'!$H$22-1),N('APA Inputs'!$G$22),0),0))*IF('APA Inputs'!$I$22="",1,'APA Inputs'!$I$22))</f>
        <v>0</v>
      </c>
      <c r="AN7" s="409" t="n">
        <f aca="false">IF('APA Inputs'!$C$22="",0,(IF(AND(AN$4&gt;='APA Inputs'!$C$22,AN$4&lt;EDATE('APA Inputs'!$C$22,N('APA Inputs'!$D$22))),'APA Inputs'!$J$22,0)+IF(N('APA Inputs'!$H$22)&gt;0,IF(AN$4=EDATE('APA Inputs'!$C$22,'APA Inputs'!$H$22-1),N('APA Inputs'!$G$22),0),0))*IF('APA Inputs'!$I$22="",1,'APA Inputs'!$I$22))</f>
        <v>0</v>
      </c>
      <c r="AO7" s="409" t="n">
        <f aca="false">IF('APA Inputs'!$C$22="",0,(IF(AND(AO$4&gt;='APA Inputs'!$C$22,AO$4&lt;EDATE('APA Inputs'!$C$22,N('APA Inputs'!$D$22))),'APA Inputs'!$J$22,0)+IF(N('APA Inputs'!$H$22)&gt;0,IF(AO$4=EDATE('APA Inputs'!$C$22,'APA Inputs'!$H$22-1),N('APA Inputs'!$G$22),0),0))*IF('APA Inputs'!$I$22="",1,'APA Inputs'!$I$22))</f>
        <v>0</v>
      </c>
      <c r="AP7" s="409" t="n">
        <f aca="false">IF('APA Inputs'!$C$22="",0,(IF(AND(AP$4&gt;='APA Inputs'!$C$22,AP$4&lt;EDATE('APA Inputs'!$C$22,N('APA Inputs'!$D$22))),'APA Inputs'!$J$22,0)+IF(N('APA Inputs'!$H$22)&gt;0,IF(AP$4=EDATE('APA Inputs'!$C$22,'APA Inputs'!$H$22-1),N('APA Inputs'!$G$22),0),0))*IF('APA Inputs'!$I$22="",1,'APA Inputs'!$I$22))</f>
        <v>0</v>
      </c>
      <c r="AQ7" s="409" t="n">
        <f aca="false">IF('APA Inputs'!$C$22="",0,(IF(AND(AQ$4&gt;='APA Inputs'!$C$22,AQ$4&lt;EDATE('APA Inputs'!$C$22,N('APA Inputs'!$D$22))),'APA Inputs'!$J$22,0)+IF(N('APA Inputs'!$H$22)&gt;0,IF(AQ$4=EDATE('APA Inputs'!$C$22,'APA Inputs'!$H$22-1),N('APA Inputs'!$G$22),0),0))*IF('APA Inputs'!$I$22="",1,'APA Inputs'!$I$22))</f>
        <v>0</v>
      </c>
      <c r="AR7" s="409" t="n">
        <f aca="false">IF('APA Inputs'!$C$22="",0,(IF(AND(AR$4&gt;='APA Inputs'!$C$22,AR$4&lt;EDATE('APA Inputs'!$C$22,N('APA Inputs'!$D$22))),'APA Inputs'!$J$22,0)+IF(N('APA Inputs'!$H$22)&gt;0,IF(AR$4=EDATE('APA Inputs'!$C$22,'APA Inputs'!$H$22-1),N('APA Inputs'!$G$22),0),0))*IF('APA Inputs'!$I$22="",1,'APA Inputs'!$I$22))</f>
        <v>0</v>
      </c>
      <c r="AS7" s="409" t="n">
        <f aca="false">IF('APA Inputs'!$C$22="",0,(IF(AND(AS$4&gt;='APA Inputs'!$C$22,AS$4&lt;EDATE('APA Inputs'!$C$22,N('APA Inputs'!$D$22))),'APA Inputs'!$J$22,0)+IF(N('APA Inputs'!$H$22)&gt;0,IF(AS$4=EDATE('APA Inputs'!$C$22,'APA Inputs'!$H$22-1),N('APA Inputs'!$G$22),0),0))*IF('APA Inputs'!$I$22="",1,'APA Inputs'!$I$22))</f>
        <v>0</v>
      </c>
      <c r="AT7" s="409" t="n">
        <f aca="false">IF('APA Inputs'!$C$22="",0,(IF(AND(AT$4&gt;='APA Inputs'!$C$22,AT$4&lt;EDATE('APA Inputs'!$C$22,N('APA Inputs'!$D$22))),'APA Inputs'!$J$22,0)+IF(N('APA Inputs'!$H$22)&gt;0,IF(AT$4=EDATE('APA Inputs'!$C$22,'APA Inputs'!$H$22-1),N('APA Inputs'!$G$22),0),0))*IF('APA Inputs'!$I$22="",1,'APA Inputs'!$I$22))</f>
        <v>0</v>
      </c>
      <c r="AU7" s="409" t="n">
        <f aca="false">IF('APA Inputs'!$C$22="",0,(IF(AND(AU$4&gt;='APA Inputs'!$C$22,AU$4&lt;EDATE('APA Inputs'!$C$22,N('APA Inputs'!$D$22))),'APA Inputs'!$J$22,0)+IF(N('APA Inputs'!$H$22)&gt;0,IF(AU$4=EDATE('APA Inputs'!$C$22,'APA Inputs'!$H$22-1),N('APA Inputs'!$G$22),0),0))*IF('APA Inputs'!$I$22="",1,'APA Inputs'!$I$22))</f>
        <v>0</v>
      </c>
      <c r="AV7" s="409" t="n">
        <f aca="false">IF('APA Inputs'!$C$22="",0,(IF(AND(AV$4&gt;='APA Inputs'!$C$22,AV$4&lt;EDATE('APA Inputs'!$C$22,N('APA Inputs'!$D$22))),'APA Inputs'!$J$22,0)+IF(N('APA Inputs'!$H$22)&gt;0,IF(AV$4=EDATE('APA Inputs'!$C$22,'APA Inputs'!$H$22-1),N('APA Inputs'!$G$22),0),0))*IF('APA Inputs'!$I$22="",1,'APA Inputs'!$I$22))</f>
        <v>0</v>
      </c>
      <c r="AW7" s="409" t="n">
        <f aca="false">IF('APA Inputs'!$C$22="",0,(IF(AND(AW$4&gt;='APA Inputs'!$C$22,AW$4&lt;EDATE('APA Inputs'!$C$22,N('APA Inputs'!$D$22))),'APA Inputs'!$J$22,0)+IF(N('APA Inputs'!$H$22)&gt;0,IF(AW$4=EDATE('APA Inputs'!$C$22,'APA Inputs'!$H$22-1),N('APA Inputs'!$G$22),0),0))*IF('APA Inputs'!$I$22="",1,'APA Inputs'!$I$22))</f>
        <v>0</v>
      </c>
      <c r="AX7" s="409" t="n">
        <f aca="false">IF('APA Inputs'!$C$22="",0,(IF(AND(AX$4&gt;='APA Inputs'!$C$22,AX$4&lt;EDATE('APA Inputs'!$C$22,N('APA Inputs'!$D$22))),'APA Inputs'!$J$22,0)+IF(N('APA Inputs'!$H$22)&gt;0,IF(AX$4=EDATE('APA Inputs'!$C$22,'APA Inputs'!$H$22-1),N('APA Inputs'!$G$22),0),0))*IF('APA Inputs'!$I$22="",1,'APA Inputs'!$I$22))</f>
        <v>0</v>
      </c>
      <c r="AY7" s="409" t="n">
        <f aca="false">IF('APA Inputs'!$C$22="",0,(IF(AND(AY$4&gt;='APA Inputs'!$C$22,AY$4&lt;EDATE('APA Inputs'!$C$22,N('APA Inputs'!$D$22))),'APA Inputs'!$J$22,0)+IF(N('APA Inputs'!$H$22)&gt;0,IF(AY$4=EDATE('APA Inputs'!$C$22,'APA Inputs'!$H$22-1),N('APA Inputs'!$G$22),0),0))*IF('APA Inputs'!$I$22="",1,'APA Inputs'!$I$22))</f>
        <v>0</v>
      </c>
      <c r="AZ7" s="409" t="n">
        <f aca="false">IF('APA Inputs'!$C$22="",0,(IF(AND(AZ$4&gt;='APA Inputs'!$C$22,AZ$4&lt;EDATE('APA Inputs'!$C$22,N('APA Inputs'!$D$22))),'APA Inputs'!$J$22,0)+IF(N('APA Inputs'!$H$22)&gt;0,IF(AZ$4=EDATE('APA Inputs'!$C$22,'APA Inputs'!$H$22-1),N('APA Inputs'!$G$22),0),0))*IF('APA Inputs'!$I$22="",1,'APA Inputs'!$I$22))</f>
        <v>0</v>
      </c>
      <c r="BA7" s="409" t="n">
        <f aca="false">IF('APA Inputs'!$C$22="",0,(IF(AND(BA$4&gt;='APA Inputs'!$C$22,BA$4&lt;EDATE('APA Inputs'!$C$22,N('APA Inputs'!$D$22))),'APA Inputs'!$J$22,0)+IF(N('APA Inputs'!$H$22)&gt;0,IF(BA$4=EDATE('APA Inputs'!$C$22,'APA Inputs'!$H$22-1),N('APA Inputs'!$G$22),0),0))*IF('APA Inputs'!$I$22="",1,'APA Inputs'!$I$22))</f>
        <v>0</v>
      </c>
      <c r="BB7" s="409" t="n">
        <f aca="false">IF('APA Inputs'!$C$22="",0,(IF(AND(BB$4&gt;='APA Inputs'!$C$22,BB$4&lt;EDATE('APA Inputs'!$C$22,N('APA Inputs'!$D$22))),'APA Inputs'!$J$22,0)+IF(N('APA Inputs'!$H$22)&gt;0,IF(BB$4=EDATE('APA Inputs'!$C$22,'APA Inputs'!$H$22-1),N('APA Inputs'!$G$22),0),0))*IF('APA Inputs'!$I$22="",1,'APA Inputs'!$I$22))</f>
        <v>0</v>
      </c>
      <c r="BC7" s="409" t="n">
        <f aca="false">IF('APA Inputs'!$C$22="",0,(IF(AND(BC$4&gt;='APA Inputs'!$C$22,BC$4&lt;EDATE('APA Inputs'!$C$22,N('APA Inputs'!$D$22))),'APA Inputs'!$J$22,0)+IF(N('APA Inputs'!$H$22)&gt;0,IF(BC$4=EDATE('APA Inputs'!$C$22,'APA Inputs'!$H$22-1),N('APA Inputs'!$G$22),0),0))*IF('APA Inputs'!$I$22="",1,'APA Inputs'!$I$22))</f>
        <v>0</v>
      </c>
      <c r="BD7" s="409" t="n">
        <f aca="false">IF('APA Inputs'!$C$22="",0,(IF(AND(BD$4&gt;='APA Inputs'!$C$22,BD$4&lt;EDATE('APA Inputs'!$C$22,N('APA Inputs'!$D$22))),'APA Inputs'!$J$22,0)+IF(N('APA Inputs'!$H$22)&gt;0,IF(BD$4=EDATE('APA Inputs'!$C$22,'APA Inputs'!$H$22-1),N('APA Inputs'!$G$22),0),0))*IF('APA Inputs'!$I$22="",1,'APA Inputs'!$I$22))</f>
        <v>0</v>
      </c>
      <c r="BE7" s="409" t="n">
        <f aca="false">IF('APA Inputs'!$C$22="",0,(IF(AND(BE$4&gt;='APA Inputs'!$C$22,BE$4&lt;EDATE('APA Inputs'!$C$22,N('APA Inputs'!$D$22))),'APA Inputs'!$J$22,0)+IF(N('APA Inputs'!$H$22)&gt;0,IF(BE$4=EDATE('APA Inputs'!$C$22,'APA Inputs'!$H$22-1),N('APA Inputs'!$G$22),0),0))*IF('APA Inputs'!$I$22="",1,'APA Inputs'!$I$22))</f>
        <v>0</v>
      </c>
      <c r="BF7" s="409" t="n">
        <f aca="false">IF('APA Inputs'!$C$22="",0,(IF(AND(BF$4&gt;='APA Inputs'!$C$22,BF$4&lt;EDATE('APA Inputs'!$C$22,N('APA Inputs'!$D$22))),'APA Inputs'!$J$22,0)+IF(N('APA Inputs'!$H$22)&gt;0,IF(BF$4=EDATE('APA Inputs'!$C$22,'APA Inputs'!$H$22-1),N('APA Inputs'!$G$22),0),0))*IF('APA Inputs'!$I$22="",1,'APA Inputs'!$I$22))</f>
        <v>0</v>
      </c>
      <c r="BG7" s="409" t="n">
        <f aca="false">IF('APA Inputs'!$C$22="",0,(IF(AND(BG$4&gt;='APA Inputs'!$C$22,BG$4&lt;EDATE('APA Inputs'!$C$22,N('APA Inputs'!$D$22))),'APA Inputs'!$J$22,0)+IF(N('APA Inputs'!$H$22)&gt;0,IF(BG$4=EDATE('APA Inputs'!$C$22,'APA Inputs'!$H$22-1),N('APA Inputs'!$G$22),0),0))*IF('APA Inputs'!$I$22="",1,'APA Inputs'!$I$22))</f>
        <v>0</v>
      </c>
      <c r="BH7" s="409" t="n">
        <f aca="false">IF('APA Inputs'!$C$22="",0,(IF(AND(BH$4&gt;='APA Inputs'!$C$22,BH$4&lt;EDATE('APA Inputs'!$C$22,N('APA Inputs'!$D$22))),'APA Inputs'!$J$22,0)+IF(N('APA Inputs'!$H$22)&gt;0,IF(BH$4=EDATE('APA Inputs'!$C$22,'APA Inputs'!$H$22-1),N('APA Inputs'!$G$22),0),0))*IF('APA Inputs'!$I$22="",1,'APA Inputs'!$I$22))</f>
        <v>0</v>
      </c>
      <c r="BI7" s="409" t="n">
        <f aca="false">IF('APA Inputs'!$C$22="",0,(IF(AND(BI$4&gt;='APA Inputs'!$C$22,BI$4&lt;EDATE('APA Inputs'!$C$22,N('APA Inputs'!$D$22))),'APA Inputs'!$J$22,0)+IF(N('APA Inputs'!$H$22)&gt;0,IF(BI$4=EDATE('APA Inputs'!$C$22,'APA Inputs'!$H$22-1),N('APA Inputs'!$G$22),0),0))*IF('APA Inputs'!$I$22="",1,'APA Inputs'!$I$22))</f>
        <v>0</v>
      </c>
      <c r="BJ7" s="409" t="n">
        <f aca="false">IF('APA Inputs'!$C$22="",0,(IF(AND(BJ$4&gt;='APA Inputs'!$C$22,BJ$4&lt;EDATE('APA Inputs'!$C$22,N('APA Inputs'!$D$22))),'APA Inputs'!$J$22,0)+IF(N('APA Inputs'!$H$22)&gt;0,IF(BJ$4=EDATE('APA Inputs'!$C$22,'APA Inputs'!$H$22-1),N('APA Inputs'!$G$22),0),0))*IF('APA Inputs'!$I$22="",1,'APA Inputs'!$I$22))</f>
        <v>0</v>
      </c>
      <c r="BK7" s="409" t="n">
        <f aca="false">IF('APA Inputs'!$C$22="",0,(IF(AND(BK$4&gt;='APA Inputs'!$C$22,BK$4&lt;EDATE('APA Inputs'!$C$22,N('APA Inputs'!$D$22))),'APA Inputs'!$J$22,0)+IF(N('APA Inputs'!$H$22)&gt;0,IF(BK$4=EDATE('APA Inputs'!$C$22,'APA Inputs'!$H$22-1),N('APA Inputs'!$G$22),0),0))*IF('APA Inputs'!$I$22="",1,'APA Inputs'!$I$22))</f>
        <v>0</v>
      </c>
      <c r="BL7" s="409" t="n">
        <f aca="false">IF('APA Inputs'!$C$22="",0,(IF(AND(BL$4&gt;='APA Inputs'!$C$22,BL$4&lt;EDATE('APA Inputs'!$C$22,N('APA Inputs'!$D$22))),'APA Inputs'!$J$22,0)+IF(N('APA Inputs'!$H$22)&gt;0,IF(BL$4=EDATE('APA Inputs'!$C$22,'APA Inputs'!$H$22-1),N('APA Inputs'!$G$22),0),0))*IF('APA Inputs'!$I$22="",1,'APA Inputs'!$I$22))</f>
        <v>0</v>
      </c>
      <c r="BM7" s="409" t="n">
        <f aca="false">IF('APA Inputs'!$C$22="",0,(IF(AND(BM$4&gt;='APA Inputs'!$C$22,BM$4&lt;EDATE('APA Inputs'!$C$22,N('APA Inputs'!$D$22))),'APA Inputs'!$J$22,0)+IF(N('APA Inputs'!$H$22)&gt;0,IF(BM$4=EDATE('APA Inputs'!$C$22,'APA Inputs'!$H$22-1),N('APA Inputs'!$G$22),0),0))*IF('APA Inputs'!$I$22="",1,'APA Inputs'!$I$22))</f>
        <v>0</v>
      </c>
      <c r="BN7" s="409" t="n">
        <f aca="false">IF('APA Inputs'!$C$22="",0,(IF(AND(BN$4&gt;='APA Inputs'!$C$22,BN$4&lt;EDATE('APA Inputs'!$C$22,N('APA Inputs'!$D$22))),'APA Inputs'!$J$22,0)+IF(N('APA Inputs'!$H$22)&gt;0,IF(BN$4=EDATE('APA Inputs'!$C$22,'APA Inputs'!$H$22-1),N('APA Inputs'!$G$22),0),0))*IF('APA Inputs'!$I$22="",1,'APA Inputs'!$I$22))</f>
        <v>0</v>
      </c>
      <c r="BO7" s="409" t="n">
        <f aca="false">IF('APA Inputs'!$C$22="",0,(IF(AND(BO$4&gt;='APA Inputs'!$C$22,BO$4&lt;EDATE('APA Inputs'!$C$22,N('APA Inputs'!$D$22))),'APA Inputs'!$J$22,0)+IF(N('APA Inputs'!$H$22)&gt;0,IF(BO$4=EDATE('APA Inputs'!$C$22,'APA Inputs'!$H$22-1),N('APA Inputs'!$G$22),0),0))*IF('APA Inputs'!$I$22="",1,'APA Inputs'!$I$22))</f>
        <v>0</v>
      </c>
      <c r="BP7" s="409" t="n">
        <f aca="false">IF('APA Inputs'!$C$22="",0,(IF(AND(BP$4&gt;='APA Inputs'!$C$22,BP$4&lt;EDATE('APA Inputs'!$C$22,N('APA Inputs'!$D$22))),'APA Inputs'!$J$22,0)+IF(N('APA Inputs'!$H$22)&gt;0,IF(BP$4=EDATE('APA Inputs'!$C$22,'APA Inputs'!$H$22-1),N('APA Inputs'!$G$22),0),0))*IF('APA Inputs'!$I$22="",1,'APA Inputs'!$I$22))</f>
        <v>0</v>
      </c>
      <c r="BQ7" s="409" t="n">
        <f aca="false">IF('APA Inputs'!$C$22="",0,(IF(AND(BQ$4&gt;='APA Inputs'!$C$22,BQ$4&lt;EDATE('APA Inputs'!$C$22,N('APA Inputs'!$D$22))),'APA Inputs'!$J$22,0)+IF(N('APA Inputs'!$H$22)&gt;0,IF(BQ$4=EDATE('APA Inputs'!$C$22,'APA Inputs'!$H$22-1),N('APA Inputs'!$G$22),0),0))*IF('APA Inputs'!$I$22="",1,'APA Inputs'!$I$22))</f>
        <v>0</v>
      </c>
      <c r="BR7" s="409" t="n">
        <f aca="false">IF('APA Inputs'!$C$22="",0,(IF(AND(BR$4&gt;='APA Inputs'!$C$22,BR$4&lt;EDATE('APA Inputs'!$C$22,N('APA Inputs'!$D$22))),'APA Inputs'!$J$22,0)+IF(N('APA Inputs'!$H$22)&gt;0,IF(BR$4=EDATE('APA Inputs'!$C$22,'APA Inputs'!$H$22-1),N('APA Inputs'!$G$22),0),0))*IF('APA Inputs'!$I$22="",1,'APA Inputs'!$I$22))</f>
        <v>0</v>
      </c>
      <c r="BS7" s="409" t="n">
        <f aca="false">IF('APA Inputs'!$C$22="",0,(IF(AND(BS$4&gt;='APA Inputs'!$C$22,BS$4&lt;EDATE('APA Inputs'!$C$22,N('APA Inputs'!$D$22))),'APA Inputs'!$J$22,0)+IF(N('APA Inputs'!$H$22)&gt;0,IF(BS$4=EDATE('APA Inputs'!$C$22,'APA Inputs'!$H$22-1),N('APA Inputs'!$G$22),0),0))*IF('APA Inputs'!$I$22="",1,'APA Inputs'!$I$22))</f>
        <v>0</v>
      </c>
      <c r="BT7" s="409" t="n">
        <f aca="false">IF('APA Inputs'!$C$22="",0,(IF(AND(BT$4&gt;='APA Inputs'!$C$22,BT$4&lt;EDATE('APA Inputs'!$C$22,N('APA Inputs'!$D$22))),'APA Inputs'!$J$22,0)+IF(N('APA Inputs'!$H$22)&gt;0,IF(BT$4=EDATE('APA Inputs'!$C$22,'APA Inputs'!$H$22-1),N('APA Inputs'!$G$22),0),0))*IF('APA Inputs'!$I$22="",1,'APA Inputs'!$I$22))</f>
        <v>0</v>
      </c>
      <c r="BU7" s="409" t="n">
        <f aca="false">IF('APA Inputs'!$C$22="",0,(IF(AND(BU$4&gt;='APA Inputs'!$C$22,BU$4&lt;EDATE('APA Inputs'!$C$22,N('APA Inputs'!$D$22))),'APA Inputs'!$J$22,0)+IF(N('APA Inputs'!$H$22)&gt;0,IF(BU$4=EDATE('APA Inputs'!$C$22,'APA Inputs'!$H$22-1),N('APA Inputs'!$G$22),0),0))*IF('APA Inputs'!$I$22="",1,'APA Inputs'!$I$22))</f>
        <v>0</v>
      </c>
      <c r="BV7" s="409" t="n">
        <f aca="false">IF('APA Inputs'!$C$22="",0,(IF(AND(BV$4&gt;='APA Inputs'!$C$22,BV$4&lt;EDATE('APA Inputs'!$C$22,N('APA Inputs'!$D$22))),'APA Inputs'!$J$22,0)+IF(N('APA Inputs'!$H$22)&gt;0,IF(BV$4=EDATE('APA Inputs'!$C$22,'APA Inputs'!$H$22-1),N('APA Inputs'!$G$22),0),0))*IF('APA Inputs'!$I$22="",1,'APA Inputs'!$I$22))</f>
        <v>0</v>
      </c>
      <c r="BW7" s="409" t="n">
        <f aca="false">IF('APA Inputs'!$C$22="",0,(IF(AND(BW$4&gt;='APA Inputs'!$C$22,BW$4&lt;EDATE('APA Inputs'!$C$22,N('APA Inputs'!$D$22))),'APA Inputs'!$J$22,0)+IF(N('APA Inputs'!$H$22)&gt;0,IF(BW$4=EDATE('APA Inputs'!$C$22,'APA Inputs'!$H$22-1),N('APA Inputs'!$G$22),0),0))*IF('APA Inputs'!$I$22="",1,'APA Inputs'!$I$22))</f>
        <v>0</v>
      </c>
      <c r="BX7" s="409" t="n">
        <f aca="false">IF('APA Inputs'!$C$22="",0,(IF(AND(BX$4&gt;='APA Inputs'!$C$22,BX$4&lt;EDATE('APA Inputs'!$C$22,N('APA Inputs'!$D$22))),'APA Inputs'!$J$22,0)+IF(N('APA Inputs'!$H$22)&gt;0,IF(BX$4=EDATE('APA Inputs'!$C$22,'APA Inputs'!$H$22-1),N('APA Inputs'!$G$22),0),0))*IF('APA Inputs'!$I$22="",1,'APA Inputs'!$I$22))</f>
        <v>0</v>
      </c>
      <c r="BY7" s="409" t="n">
        <f aca="false">IF('APA Inputs'!$C$22="",0,(IF(AND(BY$4&gt;='APA Inputs'!$C$22,BY$4&lt;EDATE('APA Inputs'!$C$22,N('APA Inputs'!$D$22))),'APA Inputs'!$J$22,0)+IF(N('APA Inputs'!$H$22)&gt;0,IF(BY$4=EDATE('APA Inputs'!$C$22,'APA Inputs'!$H$22-1),N('APA Inputs'!$G$22),0),0))*IF('APA Inputs'!$I$22="",1,'APA Inputs'!$I$22))</f>
        <v>0</v>
      </c>
      <c r="BZ7" s="409" t="n">
        <f aca="false">IF('APA Inputs'!$C$22="",0,(IF(AND(BZ$4&gt;='APA Inputs'!$C$22,BZ$4&lt;EDATE('APA Inputs'!$C$22,N('APA Inputs'!$D$22))),'APA Inputs'!$J$22,0)+IF(N('APA Inputs'!$H$22)&gt;0,IF(BZ$4=EDATE('APA Inputs'!$C$22,'APA Inputs'!$H$22-1),N('APA Inputs'!$G$22),0),0))*IF('APA Inputs'!$I$22="",1,'APA Inputs'!$I$22))</f>
        <v>0</v>
      </c>
      <c r="CA7" s="409" t="n">
        <f aca="false">IF('APA Inputs'!$C$22="",0,(IF(AND(CA$4&gt;='APA Inputs'!$C$22,CA$4&lt;EDATE('APA Inputs'!$C$22,N('APA Inputs'!$D$22))),'APA Inputs'!$J$22,0)+IF(N('APA Inputs'!$H$22)&gt;0,IF(CA$4=EDATE('APA Inputs'!$C$22,'APA Inputs'!$H$22-1),N('APA Inputs'!$G$22),0),0))*IF('APA Inputs'!$I$22="",1,'APA Inputs'!$I$22))</f>
        <v>0</v>
      </c>
      <c r="CB7" s="409" t="n">
        <f aca="false">IF('APA Inputs'!$C$22="",0,(IF(AND(CB$4&gt;='APA Inputs'!$C$22,CB$4&lt;EDATE('APA Inputs'!$C$22,N('APA Inputs'!$D$22))),'APA Inputs'!$J$22,0)+IF(N('APA Inputs'!$H$22)&gt;0,IF(CB$4=EDATE('APA Inputs'!$C$22,'APA Inputs'!$H$22-1),N('APA Inputs'!$G$22),0),0))*IF('APA Inputs'!$I$22="",1,'APA Inputs'!$I$22))</f>
        <v>0</v>
      </c>
      <c r="CC7" s="409" t="n">
        <f aca="false">IF('APA Inputs'!$C$22="",0,(IF(AND(CC$4&gt;='APA Inputs'!$C$22,CC$4&lt;EDATE('APA Inputs'!$C$22,N('APA Inputs'!$D$22))),'APA Inputs'!$J$22,0)+IF(N('APA Inputs'!$H$22)&gt;0,IF(CC$4=EDATE('APA Inputs'!$C$22,'APA Inputs'!$H$22-1),N('APA Inputs'!$G$22),0),0))*IF('APA Inputs'!$I$22="",1,'APA Inputs'!$I$22))</f>
        <v>0</v>
      </c>
      <c r="CD7" s="409" t="n">
        <f aca="false">IF('APA Inputs'!$C$22="",0,(IF(AND(CD$4&gt;='APA Inputs'!$C$22,CD$4&lt;EDATE('APA Inputs'!$C$22,N('APA Inputs'!$D$22))),'APA Inputs'!$J$22,0)+IF(N('APA Inputs'!$H$22)&gt;0,IF(CD$4=EDATE('APA Inputs'!$C$22,'APA Inputs'!$H$22-1),N('APA Inputs'!$G$22),0),0))*IF('APA Inputs'!$I$22="",1,'APA Inputs'!$I$22))</f>
        <v>0</v>
      </c>
      <c r="CE7" s="409" t="n">
        <f aca="false">IF('APA Inputs'!$C$22="",0,(IF(AND(CE$4&gt;='APA Inputs'!$C$22,CE$4&lt;EDATE('APA Inputs'!$C$22,N('APA Inputs'!$D$22))),'APA Inputs'!$J$22,0)+IF(N('APA Inputs'!$H$22)&gt;0,IF(CE$4=EDATE('APA Inputs'!$C$22,'APA Inputs'!$H$22-1),N('APA Inputs'!$G$22),0),0))*IF('APA Inputs'!$I$22="",1,'APA Inputs'!$I$22))</f>
        <v>0</v>
      </c>
      <c r="CF7" s="409" t="n">
        <f aca="false">IF('APA Inputs'!$C$22="",0,(IF(AND(CF$4&gt;='APA Inputs'!$C$22,CF$4&lt;EDATE('APA Inputs'!$C$22,N('APA Inputs'!$D$22))),'APA Inputs'!$J$22,0)+IF(N('APA Inputs'!$H$22)&gt;0,IF(CF$4=EDATE('APA Inputs'!$C$22,'APA Inputs'!$H$22-1),N('APA Inputs'!$G$22),0),0))*IF('APA Inputs'!$I$22="",1,'APA Inputs'!$I$22))</f>
        <v>0</v>
      </c>
      <c r="CG7" s="409" t="n">
        <f aca="false">IF('APA Inputs'!$C$22="",0,(IF(AND(CG$4&gt;='APA Inputs'!$C$22,CG$4&lt;EDATE('APA Inputs'!$C$22,N('APA Inputs'!$D$22))),'APA Inputs'!$J$22,0)+IF(N('APA Inputs'!$H$22)&gt;0,IF(CG$4=EDATE('APA Inputs'!$C$22,'APA Inputs'!$H$22-1),N('APA Inputs'!$G$22),0),0))*IF('APA Inputs'!$I$22="",1,'APA Inputs'!$I$22))</f>
        <v>0</v>
      </c>
      <c r="CH7" s="409" t="n">
        <f aca="false">IF('APA Inputs'!$C$22="",0,(IF(AND(CH$4&gt;='APA Inputs'!$C$22,CH$4&lt;EDATE('APA Inputs'!$C$22,N('APA Inputs'!$D$22))),'APA Inputs'!$J$22,0)+IF(N('APA Inputs'!$H$22)&gt;0,IF(CH$4=EDATE('APA Inputs'!$C$22,'APA Inputs'!$H$22-1),N('APA Inputs'!$G$22),0),0))*IF('APA Inputs'!$I$22="",1,'APA Inputs'!$I$22))</f>
        <v>0</v>
      </c>
      <c r="CI7" s="409" t="n">
        <f aca="false">IF('APA Inputs'!$C$22="",0,(IF(AND(CI$4&gt;='APA Inputs'!$C$22,CI$4&lt;EDATE('APA Inputs'!$C$22,N('APA Inputs'!$D$22))),'APA Inputs'!$J$22,0)+IF(N('APA Inputs'!$H$22)&gt;0,IF(CI$4=EDATE('APA Inputs'!$C$22,'APA Inputs'!$H$22-1),N('APA Inputs'!$G$22),0),0))*IF('APA Inputs'!$I$22="",1,'APA Inputs'!$I$22))</f>
        <v>0</v>
      </c>
      <c r="CJ7" s="409" t="n">
        <f aca="false">IF('APA Inputs'!$C$22="",0,(IF(AND(CJ$4&gt;='APA Inputs'!$C$22,CJ$4&lt;EDATE('APA Inputs'!$C$22,N('APA Inputs'!$D$22))),'APA Inputs'!$J$22,0)+IF(N('APA Inputs'!$H$22)&gt;0,IF(CJ$4=EDATE('APA Inputs'!$C$22,'APA Inputs'!$H$22-1),N('APA Inputs'!$G$22),0),0))*IF('APA Inputs'!$I$22="",1,'APA Inputs'!$I$22))</f>
        <v>0</v>
      </c>
      <c r="CK7" s="409" t="n">
        <f aca="false">IF('APA Inputs'!$C$22="",0,(IF(AND(CK$4&gt;='APA Inputs'!$C$22,CK$4&lt;EDATE('APA Inputs'!$C$22,N('APA Inputs'!$D$22))),'APA Inputs'!$J$22,0)+IF(N('APA Inputs'!$H$22)&gt;0,IF(CK$4=EDATE('APA Inputs'!$C$22,'APA Inputs'!$H$22-1),N('APA Inputs'!$G$22),0),0))*IF('APA Inputs'!$I$22="",1,'APA Inputs'!$I$22))</f>
        <v>0</v>
      </c>
      <c r="CL7" s="409" t="n">
        <f aca="false">IF('APA Inputs'!$C$22="",0,(IF(AND(CL$4&gt;='APA Inputs'!$C$22,CL$4&lt;EDATE('APA Inputs'!$C$22,N('APA Inputs'!$D$22))),'APA Inputs'!$J$22,0)+IF(N('APA Inputs'!$H$22)&gt;0,IF(CL$4=EDATE('APA Inputs'!$C$22,'APA Inputs'!$H$22-1),N('APA Inputs'!$G$22),0),0))*IF('APA Inputs'!$I$22="",1,'APA Inputs'!$I$22))</f>
        <v>0</v>
      </c>
      <c r="CM7" s="409" t="n">
        <f aca="false">IF('APA Inputs'!$C$22="",0,(IF(AND(CM$4&gt;='APA Inputs'!$C$22,CM$4&lt;EDATE('APA Inputs'!$C$22,N('APA Inputs'!$D$22))),'APA Inputs'!$J$22,0)+IF(N('APA Inputs'!$H$22)&gt;0,IF(CM$4=EDATE('APA Inputs'!$C$22,'APA Inputs'!$H$22-1),N('APA Inputs'!$G$22),0),0))*IF('APA Inputs'!$I$22="",1,'APA Inputs'!$I$22))</f>
        <v>0</v>
      </c>
      <c r="CN7" s="409" t="n">
        <f aca="false">IF('APA Inputs'!$C$22="",0,(IF(AND(CN$4&gt;='APA Inputs'!$C$22,CN$4&lt;EDATE('APA Inputs'!$C$22,N('APA Inputs'!$D$22))),'APA Inputs'!$J$22,0)+IF(N('APA Inputs'!$H$22)&gt;0,IF(CN$4=EDATE('APA Inputs'!$C$22,'APA Inputs'!$H$22-1),N('APA Inputs'!$G$22),0),0))*IF('APA Inputs'!$I$22="",1,'APA Inputs'!$I$22))</f>
        <v>0</v>
      </c>
      <c r="CO7" s="409" t="n">
        <f aca="false">IF('APA Inputs'!$C$22="",0,(IF(AND(CO$4&gt;='APA Inputs'!$C$22,CO$4&lt;EDATE('APA Inputs'!$C$22,N('APA Inputs'!$D$22))),'APA Inputs'!$J$22,0)+IF(N('APA Inputs'!$H$22)&gt;0,IF(CO$4=EDATE('APA Inputs'!$C$22,'APA Inputs'!$H$22-1),N('APA Inputs'!$G$22),0),0))*IF('APA Inputs'!$I$22="",1,'APA Inputs'!$I$22))</f>
        <v>0</v>
      </c>
      <c r="CP7" s="409" t="n">
        <f aca="false">IF('APA Inputs'!$C$22="",0,(IF(AND(CP$4&gt;='APA Inputs'!$C$22,CP$4&lt;EDATE('APA Inputs'!$C$22,N('APA Inputs'!$D$22))),'APA Inputs'!$J$22,0)+IF(N('APA Inputs'!$H$22)&gt;0,IF(CP$4=EDATE('APA Inputs'!$C$22,'APA Inputs'!$H$22-1),N('APA Inputs'!$G$22),0),0))*IF('APA Inputs'!$I$22="",1,'APA Inputs'!$I$22))</f>
        <v>0</v>
      </c>
      <c r="CQ7" s="409" t="n">
        <f aca="false">IF('APA Inputs'!$C$22="",0,(IF(AND(CQ$4&gt;='APA Inputs'!$C$22,CQ$4&lt;EDATE('APA Inputs'!$C$22,N('APA Inputs'!$D$22))),'APA Inputs'!$J$22,0)+IF(N('APA Inputs'!$H$22)&gt;0,IF(CQ$4=EDATE('APA Inputs'!$C$22,'APA Inputs'!$H$22-1),N('APA Inputs'!$G$22),0),0))*IF('APA Inputs'!$I$22="",1,'APA Inputs'!$I$22))</f>
        <v>0</v>
      </c>
      <c r="CR7" s="409" t="n">
        <f aca="false">IF('APA Inputs'!$C$22="",0,(IF(AND(CR$4&gt;='APA Inputs'!$C$22,CR$4&lt;EDATE('APA Inputs'!$C$22,N('APA Inputs'!$D$22))),'APA Inputs'!$J$22,0)+IF(N('APA Inputs'!$H$22)&gt;0,IF(CR$4=EDATE('APA Inputs'!$C$22,'APA Inputs'!$H$22-1),N('APA Inputs'!$G$22),0),0))*IF('APA Inputs'!$I$22="",1,'APA Inputs'!$I$22))</f>
        <v>0</v>
      </c>
      <c r="CS7" s="409" t="n">
        <f aca="false">IF('APA Inputs'!$C$22="",0,(IF(AND(CS$4&gt;='APA Inputs'!$C$22,CS$4&lt;EDATE('APA Inputs'!$C$22,N('APA Inputs'!$D$22))),'APA Inputs'!$J$22,0)+IF(N('APA Inputs'!$H$22)&gt;0,IF(CS$4=EDATE('APA Inputs'!$C$22,'APA Inputs'!$H$22-1),N('APA Inputs'!$G$22),0),0))*IF('APA Inputs'!$I$22="",1,'APA Inputs'!$I$22))</f>
        <v>0</v>
      </c>
      <c r="CT7" s="409" t="n">
        <f aca="false">IF('APA Inputs'!$C$22="",0,(IF(AND(CT$4&gt;='APA Inputs'!$C$22,CT$4&lt;EDATE('APA Inputs'!$C$22,N('APA Inputs'!$D$22))),'APA Inputs'!$J$22,0)+IF(N('APA Inputs'!$H$22)&gt;0,IF(CT$4=EDATE('APA Inputs'!$C$22,'APA Inputs'!$H$22-1),N('APA Inputs'!$G$22),0),0))*IF('APA Inputs'!$I$22="",1,'APA Inputs'!$I$22))</f>
        <v>0</v>
      </c>
      <c r="CU7" s="409" t="n">
        <f aca="false">IF('APA Inputs'!$C$22="",0,(IF(AND(CU$4&gt;='APA Inputs'!$C$22,CU$4&lt;EDATE('APA Inputs'!$C$22,N('APA Inputs'!$D$22))),'APA Inputs'!$J$22,0)+IF(N('APA Inputs'!$H$22)&gt;0,IF(CU$4=EDATE('APA Inputs'!$C$22,'APA Inputs'!$H$22-1),N('APA Inputs'!$G$22),0),0))*IF('APA Inputs'!$I$22="",1,'APA Inputs'!$I$22))</f>
        <v>0</v>
      </c>
      <c r="CV7" s="409" t="n">
        <f aca="false">IF('APA Inputs'!$C$22="",0,(IF(AND(CV$4&gt;='APA Inputs'!$C$22,CV$4&lt;EDATE('APA Inputs'!$C$22,N('APA Inputs'!$D$22))),'APA Inputs'!$J$22,0)+IF(N('APA Inputs'!$H$22)&gt;0,IF(CV$4=EDATE('APA Inputs'!$C$22,'APA Inputs'!$H$22-1),N('APA Inputs'!$G$22),0),0))*IF('APA Inputs'!$I$22="",1,'APA Inputs'!$I$22))</f>
        <v>0</v>
      </c>
      <c r="CW7" s="409" t="n">
        <f aca="false">IF('APA Inputs'!$C$22="",0,(IF(AND(CW$4&gt;='APA Inputs'!$C$22,CW$4&lt;EDATE('APA Inputs'!$C$22,N('APA Inputs'!$D$22))),'APA Inputs'!$J$22,0)+IF(N('APA Inputs'!$H$22)&gt;0,IF(CW$4=EDATE('APA Inputs'!$C$22,'APA Inputs'!$H$22-1),N('APA Inputs'!$G$22),0),0))*IF('APA Inputs'!$I$22="",1,'APA Inputs'!$I$22))</f>
        <v>0</v>
      </c>
      <c r="CX7" s="409" t="n">
        <f aca="false">IF('APA Inputs'!$C$22="",0,(IF(AND(CX$4&gt;='APA Inputs'!$C$22,CX$4&lt;EDATE('APA Inputs'!$C$22,N('APA Inputs'!$D$22))),'APA Inputs'!$J$22,0)+IF(N('APA Inputs'!$H$22)&gt;0,IF(CX$4=EDATE('APA Inputs'!$C$22,'APA Inputs'!$H$22-1),N('APA Inputs'!$G$22),0),0))*IF('APA Inputs'!$I$22="",1,'APA Inputs'!$I$22))</f>
        <v>0</v>
      </c>
      <c r="CY7" s="409" t="n">
        <f aca="false">IF('APA Inputs'!$C$22="",0,(IF(AND(CY$4&gt;='APA Inputs'!$C$22,CY$4&lt;EDATE('APA Inputs'!$C$22,N('APA Inputs'!$D$22))),'APA Inputs'!$J$22,0)+IF(N('APA Inputs'!$H$22)&gt;0,IF(CY$4=EDATE('APA Inputs'!$C$22,'APA Inputs'!$H$22-1),N('APA Inputs'!$G$22),0),0))*IF('APA Inputs'!$I$22="",1,'APA Inputs'!$I$22))</f>
        <v>0</v>
      </c>
      <c r="CZ7" s="409" t="n">
        <f aca="false">IF('APA Inputs'!$C$22="",0,(IF(AND(CZ$4&gt;='APA Inputs'!$C$22,CZ$4&lt;EDATE('APA Inputs'!$C$22,N('APA Inputs'!$D$22))),'APA Inputs'!$J$22,0)+IF(N('APA Inputs'!$H$22)&gt;0,IF(CZ$4=EDATE('APA Inputs'!$C$22,'APA Inputs'!$H$22-1),N('APA Inputs'!$G$22),0),0))*IF('APA Inputs'!$I$22="",1,'APA Inputs'!$I$22))</f>
        <v>0</v>
      </c>
      <c r="DA7" s="409" t="n">
        <f aca="false">IF('APA Inputs'!$C$22="",0,(IF(AND(DA$4&gt;='APA Inputs'!$C$22,DA$4&lt;EDATE('APA Inputs'!$C$22,N('APA Inputs'!$D$22))),'APA Inputs'!$J$22,0)+IF(N('APA Inputs'!$H$22)&gt;0,IF(DA$4=EDATE('APA Inputs'!$C$22,'APA Inputs'!$H$22-1),N('APA Inputs'!$G$22),0),0))*IF('APA Inputs'!$I$22="",1,'APA Inputs'!$I$22))</f>
        <v>0</v>
      </c>
      <c r="DB7" s="409" t="n">
        <f aca="false">IF('APA Inputs'!$C$22="",0,(IF(AND(DB$4&gt;='APA Inputs'!$C$22,DB$4&lt;EDATE('APA Inputs'!$C$22,N('APA Inputs'!$D$22))),'APA Inputs'!$J$22,0)+IF(N('APA Inputs'!$H$22)&gt;0,IF(DB$4=EDATE('APA Inputs'!$C$22,'APA Inputs'!$H$22-1),N('APA Inputs'!$G$22),0),0))*IF('APA Inputs'!$I$22="",1,'APA Inputs'!$I$22))</f>
        <v>0</v>
      </c>
      <c r="DC7" s="409" t="n">
        <f aca="false">IF('APA Inputs'!$C$22="",0,(IF(AND(DC$4&gt;='APA Inputs'!$C$22,DC$4&lt;EDATE('APA Inputs'!$C$22,N('APA Inputs'!$D$22))),'APA Inputs'!$J$22,0)+IF(N('APA Inputs'!$H$22)&gt;0,IF(DC$4=EDATE('APA Inputs'!$C$22,'APA Inputs'!$H$22-1),N('APA Inputs'!$G$22),0),0))*IF('APA Inputs'!$I$22="",1,'APA Inputs'!$I$22))</f>
        <v>0</v>
      </c>
      <c r="DD7" s="409" t="n">
        <f aca="false">IF('APA Inputs'!$C$22="",0,(IF(AND(DD$4&gt;='APA Inputs'!$C$22,DD$4&lt;EDATE('APA Inputs'!$C$22,N('APA Inputs'!$D$22))),'APA Inputs'!$J$22,0)+IF(N('APA Inputs'!$H$22)&gt;0,IF(DD$4=EDATE('APA Inputs'!$C$22,'APA Inputs'!$H$22-1),N('APA Inputs'!$G$22),0),0))*IF('APA Inputs'!$I$22="",1,'APA Inputs'!$I$22))</f>
        <v>0</v>
      </c>
      <c r="DE7" s="40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09" t="n">
        <f aca="false">IF('APA Inputs'!$C$23="",0,(IF(AND(B$4&gt;='APA Inputs'!$C$23,B$4&lt;EDATE('APA Inputs'!$C$23,N('APA Inputs'!$D$23))),'APA Inputs'!$J$23,0)+IF(N('APA Inputs'!$H$23)&gt;0,IF(B$4=EDATE('APA Inputs'!$C$23,'APA Inputs'!$H$23-1),N('APA Inputs'!$G$23),0),0))*IF('APA Inputs'!$I$23="",1,'APA Inputs'!$I$23))</f>
        <v>0</v>
      </c>
      <c r="C8" s="409" t="n">
        <f aca="false">IF('APA Inputs'!$C$23="",0,(IF(AND(C$4&gt;='APA Inputs'!$C$23,C$4&lt;EDATE('APA Inputs'!$C$23,N('APA Inputs'!$D$23))),'APA Inputs'!$J$23,0)+IF(N('APA Inputs'!$H$23)&gt;0,IF(C$4=EDATE('APA Inputs'!$C$23,'APA Inputs'!$H$23-1),N('APA Inputs'!$G$23),0),0))*IF('APA Inputs'!$I$23="",1,'APA Inputs'!$I$23))</f>
        <v>0</v>
      </c>
      <c r="D8" s="409" t="n">
        <f aca="false">IF('APA Inputs'!$C$23="",0,(IF(AND(D$4&gt;='APA Inputs'!$C$23,D$4&lt;EDATE('APA Inputs'!$C$23,N('APA Inputs'!$D$23))),'APA Inputs'!$J$23,0)+IF(N('APA Inputs'!$H$23)&gt;0,IF(D$4=EDATE('APA Inputs'!$C$23,'APA Inputs'!$H$23-1),N('APA Inputs'!$G$23),0),0))*IF('APA Inputs'!$I$23="",1,'APA Inputs'!$I$23))</f>
        <v>0</v>
      </c>
      <c r="E8" s="409" t="n">
        <f aca="false">IF('APA Inputs'!$C$23="",0,(IF(AND(E$4&gt;='APA Inputs'!$C$23,E$4&lt;EDATE('APA Inputs'!$C$23,N('APA Inputs'!$D$23))),'APA Inputs'!$J$23,0)+IF(N('APA Inputs'!$H$23)&gt;0,IF(E$4=EDATE('APA Inputs'!$C$23,'APA Inputs'!$H$23-1),N('APA Inputs'!$G$23),0),0))*IF('APA Inputs'!$I$23="",1,'APA Inputs'!$I$23))</f>
        <v>0</v>
      </c>
      <c r="F8" s="409" t="n">
        <f aca="false">IF('APA Inputs'!$C$23="",0,(IF(AND(F$4&gt;='APA Inputs'!$C$23,F$4&lt;EDATE('APA Inputs'!$C$23,N('APA Inputs'!$D$23))),'APA Inputs'!$J$23,0)+IF(N('APA Inputs'!$H$23)&gt;0,IF(F$4=EDATE('APA Inputs'!$C$23,'APA Inputs'!$H$23-1),N('APA Inputs'!$G$23),0),0))*IF('APA Inputs'!$I$23="",1,'APA Inputs'!$I$23))</f>
        <v>0</v>
      </c>
      <c r="G8" s="409" t="n">
        <f aca="false">IF('APA Inputs'!$C$23="",0,(IF(AND(G$4&gt;='APA Inputs'!$C$23,G$4&lt;EDATE('APA Inputs'!$C$23,N('APA Inputs'!$D$23))),'APA Inputs'!$J$23,0)+IF(N('APA Inputs'!$H$23)&gt;0,IF(G$4=EDATE('APA Inputs'!$C$23,'APA Inputs'!$H$23-1),N('APA Inputs'!$G$23),0),0))*IF('APA Inputs'!$I$23="",1,'APA Inputs'!$I$23))</f>
        <v>0</v>
      </c>
      <c r="H8" s="409" t="n">
        <f aca="false">IF('APA Inputs'!$C$23="",0,(IF(AND(H$4&gt;='APA Inputs'!$C$23,H$4&lt;EDATE('APA Inputs'!$C$23,N('APA Inputs'!$D$23))),'APA Inputs'!$J$23,0)+IF(N('APA Inputs'!$H$23)&gt;0,IF(H$4=EDATE('APA Inputs'!$C$23,'APA Inputs'!$H$23-1),N('APA Inputs'!$G$23),0),0))*IF('APA Inputs'!$I$23="",1,'APA Inputs'!$I$23))</f>
        <v>0</v>
      </c>
      <c r="I8" s="409" t="n">
        <f aca="false">IF('APA Inputs'!$C$23="",0,(IF(AND(I$4&gt;='APA Inputs'!$C$23,I$4&lt;EDATE('APA Inputs'!$C$23,N('APA Inputs'!$D$23))),'APA Inputs'!$J$23,0)+IF(N('APA Inputs'!$H$23)&gt;0,IF(I$4=EDATE('APA Inputs'!$C$23,'APA Inputs'!$H$23-1),N('APA Inputs'!$G$23),0),0))*IF('APA Inputs'!$I$23="",1,'APA Inputs'!$I$23))</f>
        <v>4166.66</v>
      </c>
      <c r="J8" s="409" t="n">
        <f aca="false">IF('APA Inputs'!$C$23="",0,(IF(AND(J$4&gt;='APA Inputs'!$C$23,J$4&lt;EDATE('APA Inputs'!$C$23,N('APA Inputs'!$D$23))),'APA Inputs'!$J$23,0)+IF(N('APA Inputs'!$H$23)&gt;0,IF(J$4=EDATE('APA Inputs'!$C$23,'APA Inputs'!$H$23-1),N('APA Inputs'!$G$23),0),0))*IF('APA Inputs'!$I$23="",1,'APA Inputs'!$I$23))</f>
        <v>4166.66</v>
      </c>
      <c r="K8" s="409" t="n">
        <f aca="false">IF('APA Inputs'!$C$23="",0,(IF(AND(K$4&gt;='APA Inputs'!$C$23,K$4&lt;EDATE('APA Inputs'!$C$23,N('APA Inputs'!$D$23))),'APA Inputs'!$J$23,0)+IF(N('APA Inputs'!$H$23)&gt;0,IF(K$4=EDATE('APA Inputs'!$C$23,'APA Inputs'!$H$23-1),N('APA Inputs'!$G$23),0),0))*IF('APA Inputs'!$I$23="",1,'APA Inputs'!$I$23))</f>
        <v>4166.66</v>
      </c>
      <c r="L8" s="409" t="n">
        <f aca="false">IF('APA Inputs'!$C$23="",0,(IF(AND(L$4&gt;='APA Inputs'!$C$23,L$4&lt;EDATE('APA Inputs'!$C$23,N('APA Inputs'!$D$23))),'APA Inputs'!$J$23,0)+IF(N('APA Inputs'!$H$23)&gt;0,IF(L$4=EDATE('APA Inputs'!$C$23,'APA Inputs'!$H$23-1),N('APA Inputs'!$G$23),0),0))*IF('APA Inputs'!$I$23="",1,'APA Inputs'!$I$23))</f>
        <v>4166.66</v>
      </c>
      <c r="M8" s="409" t="n">
        <f aca="false">IF('APA Inputs'!$C$23="",0,(IF(AND(M$4&gt;='APA Inputs'!$C$23,M$4&lt;EDATE('APA Inputs'!$C$23,N('APA Inputs'!$D$23))),'APA Inputs'!$J$23,0)+IF(N('APA Inputs'!$H$23)&gt;0,IF(M$4=EDATE('APA Inputs'!$C$23,'APA Inputs'!$H$23-1),N('APA Inputs'!$G$23),0),0))*IF('APA Inputs'!$I$23="",1,'APA Inputs'!$I$23))</f>
        <v>4166.66</v>
      </c>
      <c r="N8" s="409" t="n">
        <f aca="false">IF('APA Inputs'!$C$23="",0,(IF(AND(N$4&gt;='APA Inputs'!$C$23,N$4&lt;EDATE('APA Inputs'!$C$23,N('APA Inputs'!$D$23))),'APA Inputs'!$J$23,0)+IF(N('APA Inputs'!$H$23)&gt;0,IF(N$4=EDATE('APA Inputs'!$C$23,'APA Inputs'!$H$23-1),N('APA Inputs'!$G$23),0),0))*IF('APA Inputs'!$I$23="",1,'APA Inputs'!$I$23))</f>
        <v>4166.66</v>
      </c>
      <c r="O8" s="409" t="n">
        <f aca="false">IF('APA Inputs'!$C$23="",0,(IF(AND(O$4&gt;='APA Inputs'!$C$23,O$4&lt;EDATE('APA Inputs'!$C$23,N('APA Inputs'!$D$23))),'APA Inputs'!$J$23,0)+IF(N('APA Inputs'!$H$23)&gt;0,IF(O$4=EDATE('APA Inputs'!$C$23,'APA Inputs'!$H$23-1),N('APA Inputs'!$G$23),0),0))*IF('APA Inputs'!$I$23="",1,'APA Inputs'!$I$23))</f>
        <v>4166.66</v>
      </c>
      <c r="P8" s="409" t="n">
        <f aca="false">IF('APA Inputs'!$C$23="",0,(IF(AND(P$4&gt;='APA Inputs'!$C$23,P$4&lt;EDATE('APA Inputs'!$C$23,N('APA Inputs'!$D$23))),'APA Inputs'!$J$23,0)+IF(N('APA Inputs'!$H$23)&gt;0,IF(P$4=EDATE('APA Inputs'!$C$23,'APA Inputs'!$H$23-1),N('APA Inputs'!$G$23),0),0))*IF('APA Inputs'!$I$23="",1,'APA Inputs'!$I$23))</f>
        <v>4166.66</v>
      </c>
      <c r="Q8" s="409" t="n">
        <f aca="false">IF('APA Inputs'!$C$23="",0,(IF(AND(Q$4&gt;='APA Inputs'!$C$23,Q$4&lt;EDATE('APA Inputs'!$C$23,N('APA Inputs'!$D$23))),'APA Inputs'!$J$23,0)+IF(N('APA Inputs'!$H$23)&gt;0,IF(Q$4=EDATE('APA Inputs'!$C$23,'APA Inputs'!$H$23-1),N('APA Inputs'!$G$23),0),0))*IF('APA Inputs'!$I$23="",1,'APA Inputs'!$I$23))</f>
        <v>4166.66</v>
      </c>
      <c r="R8" s="409" t="n">
        <f aca="false">IF('APA Inputs'!$C$23="",0,(IF(AND(R$4&gt;='APA Inputs'!$C$23,R$4&lt;EDATE('APA Inputs'!$C$23,N('APA Inputs'!$D$23))),'APA Inputs'!$J$23,0)+IF(N('APA Inputs'!$H$23)&gt;0,IF(R$4=EDATE('APA Inputs'!$C$23,'APA Inputs'!$H$23-1),N('APA Inputs'!$G$23),0),0))*IF('APA Inputs'!$I$23="",1,'APA Inputs'!$I$23))</f>
        <v>4166.66</v>
      </c>
      <c r="S8" s="409" t="n">
        <f aca="false">IF('APA Inputs'!$C$23="",0,(IF(AND(S$4&gt;='APA Inputs'!$C$23,S$4&lt;EDATE('APA Inputs'!$C$23,N('APA Inputs'!$D$23))),'APA Inputs'!$J$23,0)+IF(N('APA Inputs'!$H$23)&gt;0,IF(S$4=EDATE('APA Inputs'!$C$23,'APA Inputs'!$H$23-1),N('APA Inputs'!$G$23),0),0))*IF('APA Inputs'!$I$23="",1,'APA Inputs'!$I$23))</f>
        <v>4166.66</v>
      </c>
      <c r="T8" s="409" t="n">
        <f aca="false">IF('APA Inputs'!$C$23="",0,(IF(AND(T$4&gt;='APA Inputs'!$C$23,T$4&lt;EDATE('APA Inputs'!$C$23,N('APA Inputs'!$D$23))),'APA Inputs'!$J$23,0)+IF(N('APA Inputs'!$H$23)&gt;0,IF(T$4=EDATE('APA Inputs'!$C$23,'APA Inputs'!$H$23-1),N('APA Inputs'!$G$23),0),0))*IF('APA Inputs'!$I$23="",1,'APA Inputs'!$I$23))</f>
        <v>4166.66</v>
      </c>
      <c r="U8" s="409" t="n">
        <f aca="false">IF('APA Inputs'!$C$23="",0,(IF(AND(U$4&gt;='APA Inputs'!$C$23,U$4&lt;EDATE('APA Inputs'!$C$23,N('APA Inputs'!$D$23))),'APA Inputs'!$J$23,0)+IF(N('APA Inputs'!$H$23)&gt;0,IF(U$4=EDATE('APA Inputs'!$C$23,'APA Inputs'!$H$23-1),N('APA Inputs'!$G$23),0),0))*IF('APA Inputs'!$I$23="",1,'APA Inputs'!$I$23))</f>
        <v>4166.66</v>
      </c>
      <c r="V8" s="409" t="n">
        <f aca="false">IF('APA Inputs'!$C$23="",0,(IF(AND(V$4&gt;='APA Inputs'!$C$23,V$4&lt;EDATE('APA Inputs'!$C$23,N('APA Inputs'!$D$23))),'APA Inputs'!$J$23,0)+IF(N('APA Inputs'!$H$23)&gt;0,IF(V$4=EDATE('APA Inputs'!$C$23,'APA Inputs'!$H$23-1),N('APA Inputs'!$G$23),0),0))*IF('APA Inputs'!$I$23="",1,'APA Inputs'!$I$23))</f>
        <v>4166.66</v>
      </c>
      <c r="W8" s="409" t="n">
        <f aca="false">IF('APA Inputs'!$C$23="",0,(IF(AND(W$4&gt;='APA Inputs'!$C$23,W$4&lt;EDATE('APA Inputs'!$C$23,N('APA Inputs'!$D$23))),'APA Inputs'!$J$23,0)+IF(N('APA Inputs'!$H$23)&gt;0,IF(W$4=EDATE('APA Inputs'!$C$23,'APA Inputs'!$H$23-1),N('APA Inputs'!$G$23),0),0))*IF('APA Inputs'!$I$23="",1,'APA Inputs'!$I$23))</f>
        <v>4166.66</v>
      </c>
      <c r="X8" s="409" t="n">
        <f aca="false">IF('APA Inputs'!$C$23="",0,(IF(AND(X$4&gt;='APA Inputs'!$C$23,X$4&lt;EDATE('APA Inputs'!$C$23,N('APA Inputs'!$D$23))),'APA Inputs'!$J$23,0)+IF(N('APA Inputs'!$H$23)&gt;0,IF(X$4=EDATE('APA Inputs'!$C$23,'APA Inputs'!$H$23-1),N('APA Inputs'!$G$23),0),0))*IF('APA Inputs'!$I$23="",1,'APA Inputs'!$I$23))</f>
        <v>4166.66</v>
      </c>
      <c r="Y8" s="409" t="n">
        <f aca="false">IF('APA Inputs'!$C$23="",0,(IF(AND(Y$4&gt;='APA Inputs'!$C$23,Y$4&lt;EDATE('APA Inputs'!$C$23,N('APA Inputs'!$D$23))),'APA Inputs'!$J$23,0)+IF(N('APA Inputs'!$H$23)&gt;0,IF(Y$4=EDATE('APA Inputs'!$C$23,'APA Inputs'!$H$23-1),N('APA Inputs'!$G$23),0),0))*IF('APA Inputs'!$I$23="",1,'APA Inputs'!$I$23))</f>
        <v>4166.66</v>
      </c>
      <c r="Z8" s="409" t="n">
        <f aca="false">IF('APA Inputs'!$C$23="",0,(IF(AND(Z$4&gt;='APA Inputs'!$C$23,Z$4&lt;EDATE('APA Inputs'!$C$23,N('APA Inputs'!$D$23))),'APA Inputs'!$J$23,0)+IF(N('APA Inputs'!$H$23)&gt;0,IF(Z$4=EDATE('APA Inputs'!$C$23,'APA Inputs'!$H$23-1),N('APA Inputs'!$G$23),0),0))*IF('APA Inputs'!$I$23="",1,'APA Inputs'!$I$23))</f>
        <v>4166.66</v>
      </c>
      <c r="AA8" s="409" t="n">
        <f aca="false">IF('APA Inputs'!$C$23="",0,(IF(AND(AA$4&gt;='APA Inputs'!$C$23,AA$4&lt;EDATE('APA Inputs'!$C$23,N('APA Inputs'!$D$23))),'APA Inputs'!$J$23,0)+IF(N('APA Inputs'!$H$23)&gt;0,IF(AA$4=EDATE('APA Inputs'!$C$23,'APA Inputs'!$H$23-1),N('APA Inputs'!$G$23),0),0))*IF('APA Inputs'!$I$23="",1,'APA Inputs'!$I$23))</f>
        <v>4166.66</v>
      </c>
      <c r="AB8" s="409" t="n">
        <f aca="false">IF('APA Inputs'!$C$23="",0,(IF(AND(AB$4&gt;='APA Inputs'!$C$23,AB$4&lt;EDATE('APA Inputs'!$C$23,N('APA Inputs'!$D$23))),'APA Inputs'!$J$23,0)+IF(N('APA Inputs'!$H$23)&gt;0,IF(AB$4=EDATE('APA Inputs'!$C$23,'APA Inputs'!$H$23-1),N('APA Inputs'!$G$23),0),0))*IF('APA Inputs'!$I$23="",1,'APA Inputs'!$I$23))</f>
        <v>4166.66</v>
      </c>
      <c r="AC8" s="409" t="n">
        <f aca="false">IF('APA Inputs'!$C$23="",0,(IF(AND(AC$4&gt;='APA Inputs'!$C$23,AC$4&lt;EDATE('APA Inputs'!$C$23,N('APA Inputs'!$D$23))),'APA Inputs'!$J$23,0)+IF(N('APA Inputs'!$H$23)&gt;0,IF(AC$4=EDATE('APA Inputs'!$C$23,'APA Inputs'!$H$23-1),N('APA Inputs'!$G$23),0),0))*IF('APA Inputs'!$I$23="",1,'APA Inputs'!$I$23))</f>
        <v>4166.66</v>
      </c>
      <c r="AD8" s="409" t="n">
        <f aca="false">IF('APA Inputs'!$C$23="",0,(IF(AND(AD$4&gt;='APA Inputs'!$C$23,AD$4&lt;EDATE('APA Inputs'!$C$23,N('APA Inputs'!$D$23))),'APA Inputs'!$J$23,0)+IF(N('APA Inputs'!$H$23)&gt;0,IF(AD$4=EDATE('APA Inputs'!$C$23,'APA Inputs'!$H$23-1),N('APA Inputs'!$G$23),0),0))*IF('APA Inputs'!$I$23="",1,'APA Inputs'!$I$23))</f>
        <v>4166.66</v>
      </c>
      <c r="AE8" s="409" t="n">
        <f aca="false">IF('APA Inputs'!$C$23="",0,(IF(AND(AE$4&gt;='APA Inputs'!$C$23,AE$4&lt;EDATE('APA Inputs'!$C$23,N('APA Inputs'!$D$23))),'APA Inputs'!$J$23,0)+IF(N('APA Inputs'!$H$23)&gt;0,IF(AE$4=EDATE('APA Inputs'!$C$23,'APA Inputs'!$H$23-1),N('APA Inputs'!$G$23),0),0))*IF('APA Inputs'!$I$23="",1,'APA Inputs'!$I$23))</f>
        <v>4166.66</v>
      </c>
      <c r="AF8" s="409" t="n">
        <f aca="false">IF('APA Inputs'!$C$23="",0,(IF(AND(AF$4&gt;='APA Inputs'!$C$23,AF$4&lt;EDATE('APA Inputs'!$C$23,N('APA Inputs'!$D$23))),'APA Inputs'!$J$23,0)+IF(N('APA Inputs'!$H$23)&gt;0,IF(AF$4=EDATE('APA Inputs'!$C$23,'APA Inputs'!$H$23-1),N('APA Inputs'!$G$23),0),0))*IF('APA Inputs'!$I$23="",1,'APA Inputs'!$I$23))</f>
        <v>4166.66</v>
      </c>
      <c r="AG8" s="409" t="n">
        <f aca="false">IF('APA Inputs'!$C$23="",0,(IF(AND(AG$4&gt;='APA Inputs'!$C$23,AG$4&lt;EDATE('APA Inputs'!$C$23,N('APA Inputs'!$D$23))),'APA Inputs'!$J$23,0)+IF(N('APA Inputs'!$H$23)&gt;0,IF(AG$4=EDATE('APA Inputs'!$C$23,'APA Inputs'!$H$23-1),N('APA Inputs'!$G$23),0),0))*IF('APA Inputs'!$I$23="",1,'APA Inputs'!$I$23))</f>
        <v>0</v>
      </c>
      <c r="AH8" s="409" t="n">
        <f aca="false">IF('APA Inputs'!$C$23="",0,(IF(AND(AH$4&gt;='APA Inputs'!$C$23,AH$4&lt;EDATE('APA Inputs'!$C$23,N('APA Inputs'!$D$23))),'APA Inputs'!$J$23,0)+IF(N('APA Inputs'!$H$23)&gt;0,IF(AH$4=EDATE('APA Inputs'!$C$23,'APA Inputs'!$H$23-1),N('APA Inputs'!$G$23),0),0))*IF('APA Inputs'!$I$23="",1,'APA Inputs'!$I$23))</f>
        <v>0</v>
      </c>
      <c r="AI8" s="409" t="n">
        <f aca="false">IF('APA Inputs'!$C$23="",0,(IF(AND(AI$4&gt;='APA Inputs'!$C$23,AI$4&lt;EDATE('APA Inputs'!$C$23,N('APA Inputs'!$D$23))),'APA Inputs'!$J$23,0)+IF(N('APA Inputs'!$H$23)&gt;0,IF(AI$4=EDATE('APA Inputs'!$C$23,'APA Inputs'!$H$23-1),N('APA Inputs'!$G$23),0),0))*IF('APA Inputs'!$I$23="",1,'APA Inputs'!$I$23))</f>
        <v>0</v>
      </c>
      <c r="AJ8" s="409" t="n">
        <f aca="false">IF('APA Inputs'!$C$23="",0,(IF(AND(AJ$4&gt;='APA Inputs'!$C$23,AJ$4&lt;EDATE('APA Inputs'!$C$23,N('APA Inputs'!$D$23))),'APA Inputs'!$J$23,0)+IF(N('APA Inputs'!$H$23)&gt;0,IF(AJ$4=EDATE('APA Inputs'!$C$23,'APA Inputs'!$H$23-1),N('APA Inputs'!$G$23),0),0))*IF('APA Inputs'!$I$23="",1,'APA Inputs'!$I$23))</f>
        <v>0</v>
      </c>
      <c r="AK8" s="409" t="n">
        <f aca="false">IF('APA Inputs'!$C$23="",0,(IF(AND(AK$4&gt;='APA Inputs'!$C$23,AK$4&lt;EDATE('APA Inputs'!$C$23,N('APA Inputs'!$D$23))),'APA Inputs'!$J$23,0)+IF(N('APA Inputs'!$H$23)&gt;0,IF(AK$4=EDATE('APA Inputs'!$C$23,'APA Inputs'!$H$23-1),N('APA Inputs'!$G$23),0),0))*IF('APA Inputs'!$I$23="",1,'APA Inputs'!$I$23))</f>
        <v>0</v>
      </c>
      <c r="AL8" s="409" t="n">
        <f aca="false">IF('APA Inputs'!$C$23="",0,(IF(AND(AL$4&gt;='APA Inputs'!$C$23,AL$4&lt;EDATE('APA Inputs'!$C$23,N('APA Inputs'!$D$23))),'APA Inputs'!$J$23,0)+IF(N('APA Inputs'!$H$23)&gt;0,IF(AL$4=EDATE('APA Inputs'!$C$23,'APA Inputs'!$H$23-1),N('APA Inputs'!$G$23),0),0))*IF('APA Inputs'!$I$23="",1,'APA Inputs'!$I$23))</f>
        <v>0</v>
      </c>
      <c r="AM8" s="409" t="n">
        <f aca="false">IF('APA Inputs'!$C$23="",0,(IF(AND(AM$4&gt;='APA Inputs'!$C$23,AM$4&lt;EDATE('APA Inputs'!$C$23,N('APA Inputs'!$D$23))),'APA Inputs'!$J$23,0)+IF(N('APA Inputs'!$H$23)&gt;0,IF(AM$4=EDATE('APA Inputs'!$C$23,'APA Inputs'!$H$23-1),N('APA Inputs'!$G$23),0),0))*IF('APA Inputs'!$I$23="",1,'APA Inputs'!$I$23))</f>
        <v>0</v>
      </c>
      <c r="AN8" s="409" t="n">
        <f aca="false">IF('APA Inputs'!$C$23="",0,(IF(AND(AN$4&gt;='APA Inputs'!$C$23,AN$4&lt;EDATE('APA Inputs'!$C$23,N('APA Inputs'!$D$23))),'APA Inputs'!$J$23,0)+IF(N('APA Inputs'!$H$23)&gt;0,IF(AN$4=EDATE('APA Inputs'!$C$23,'APA Inputs'!$H$23-1),N('APA Inputs'!$G$23),0),0))*IF('APA Inputs'!$I$23="",1,'APA Inputs'!$I$23))</f>
        <v>0</v>
      </c>
      <c r="AO8" s="409" t="n">
        <f aca="false">IF('APA Inputs'!$C$23="",0,(IF(AND(AO$4&gt;='APA Inputs'!$C$23,AO$4&lt;EDATE('APA Inputs'!$C$23,N('APA Inputs'!$D$23))),'APA Inputs'!$J$23,0)+IF(N('APA Inputs'!$H$23)&gt;0,IF(AO$4=EDATE('APA Inputs'!$C$23,'APA Inputs'!$H$23-1),N('APA Inputs'!$G$23),0),0))*IF('APA Inputs'!$I$23="",1,'APA Inputs'!$I$23))</f>
        <v>0</v>
      </c>
      <c r="AP8" s="409" t="n">
        <f aca="false">IF('APA Inputs'!$C$23="",0,(IF(AND(AP$4&gt;='APA Inputs'!$C$23,AP$4&lt;EDATE('APA Inputs'!$C$23,N('APA Inputs'!$D$23))),'APA Inputs'!$J$23,0)+IF(N('APA Inputs'!$H$23)&gt;0,IF(AP$4=EDATE('APA Inputs'!$C$23,'APA Inputs'!$H$23-1),N('APA Inputs'!$G$23),0),0))*IF('APA Inputs'!$I$23="",1,'APA Inputs'!$I$23))</f>
        <v>0</v>
      </c>
      <c r="AQ8" s="409" t="n">
        <f aca="false">IF('APA Inputs'!$C$23="",0,(IF(AND(AQ$4&gt;='APA Inputs'!$C$23,AQ$4&lt;EDATE('APA Inputs'!$C$23,N('APA Inputs'!$D$23))),'APA Inputs'!$J$23,0)+IF(N('APA Inputs'!$H$23)&gt;0,IF(AQ$4=EDATE('APA Inputs'!$C$23,'APA Inputs'!$H$23-1),N('APA Inputs'!$G$23),0),0))*IF('APA Inputs'!$I$23="",1,'APA Inputs'!$I$23))</f>
        <v>0</v>
      </c>
      <c r="AR8" s="409" t="n">
        <f aca="false">IF('APA Inputs'!$C$23="",0,(IF(AND(AR$4&gt;='APA Inputs'!$C$23,AR$4&lt;EDATE('APA Inputs'!$C$23,N('APA Inputs'!$D$23))),'APA Inputs'!$J$23,0)+IF(N('APA Inputs'!$H$23)&gt;0,IF(AR$4=EDATE('APA Inputs'!$C$23,'APA Inputs'!$H$23-1),N('APA Inputs'!$G$23),0),0))*IF('APA Inputs'!$I$23="",1,'APA Inputs'!$I$23))</f>
        <v>0</v>
      </c>
      <c r="AS8" s="409" t="n">
        <f aca="false">IF('APA Inputs'!$C$23="",0,(IF(AND(AS$4&gt;='APA Inputs'!$C$23,AS$4&lt;EDATE('APA Inputs'!$C$23,N('APA Inputs'!$D$23))),'APA Inputs'!$J$23,0)+IF(N('APA Inputs'!$H$23)&gt;0,IF(AS$4=EDATE('APA Inputs'!$C$23,'APA Inputs'!$H$23-1),N('APA Inputs'!$G$23),0),0))*IF('APA Inputs'!$I$23="",1,'APA Inputs'!$I$23))</f>
        <v>0</v>
      </c>
      <c r="AT8" s="409" t="n">
        <f aca="false">IF('APA Inputs'!$C$23="",0,(IF(AND(AT$4&gt;='APA Inputs'!$C$23,AT$4&lt;EDATE('APA Inputs'!$C$23,N('APA Inputs'!$D$23))),'APA Inputs'!$J$23,0)+IF(N('APA Inputs'!$H$23)&gt;0,IF(AT$4=EDATE('APA Inputs'!$C$23,'APA Inputs'!$H$23-1),N('APA Inputs'!$G$23),0),0))*IF('APA Inputs'!$I$23="",1,'APA Inputs'!$I$23))</f>
        <v>0</v>
      </c>
      <c r="AU8" s="409" t="n">
        <f aca="false">IF('APA Inputs'!$C$23="",0,(IF(AND(AU$4&gt;='APA Inputs'!$C$23,AU$4&lt;EDATE('APA Inputs'!$C$23,N('APA Inputs'!$D$23))),'APA Inputs'!$J$23,0)+IF(N('APA Inputs'!$H$23)&gt;0,IF(AU$4=EDATE('APA Inputs'!$C$23,'APA Inputs'!$H$23-1),N('APA Inputs'!$G$23),0),0))*IF('APA Inputs'!$I$23="",1,'APA Inputs'!$I$23))</f>
        <v>0</v>
      </c>
      <c r="AV8" s="409" t="n">
        <f aca="false">IF('APA Inputs'!$C$23="",0,(IF(AND(AV$4&gt;='APA Inputs'!$C$23,AV$4&lt;EDATE('APA Inputs'!$C$23,N('APA Inputs'!$D$23))),'APA Inputs'!$J$23,0)+IF(N('APA Inputs'!$H$23)&gt;0,IF(AV$4=EDATE('APA Inputs'!$C$23,'APA Inputs'!$H$23-1),N('APA Inputs'!$G$23),0),0))*IF('APA Inputs'!$I$23="",1,'APA Inputs'!$I$23))</f>
        <v>0</v>
      </c>
      <c r="AW8" s="409" t="n">
        <f aca="false">IF('APA Inputs'!$C$23="",0,(IF(AND(AW$4&gt;='APA Inputs'!$C$23,AW$4&lt;EDATE('APA Inputs'!$C$23,N('APA Inputs'!$D$23))),'APA Inputs'!$J$23,0)+IF(N('APA Inputs'!$H$23)&gt;0,IF(AW$4=EDATE('APA Inputs'!$C$23,'APA Inputs'!$H$23-1),N('APA Inputs'!$G$23),0),0))*IF('APA Inputs'!$I$23="",1,'APA Inputs'!$I$23))</f>
        <v>0</v>
      </c>
      <c r="AX8" s="409" t="n">
        <f aca="false">IF('APA Inputs'!$C$23="",0,(IF(AND(AX$4&gt;='APA Inputs'!$C$23,AX$4&lt;EDATE('APA Inputs'!$C$23,N('APA Inputs'!$D$23))),'APA Inputs'!$J$23,0)+IF(N('APA Inputs'!$H$23)&gt;0,IF(AX$4=EDATE('APA Inputs'!$C$23,'APA Inputs'!$H$23-1),N('APA Inputs'!$G$23),0),0))*IF('APA Inputs'!$I$23="",1,'APA Inputs'!$I$23))</f>
        <v>0</v>
      </c>
      <c r="AY8" s="409" t="n">
        <f aca="false">IF('APA Inputs'!$C$23="",0,(IF(AND(AY$4&gt;='APA Inputs'!$C$23,AY$4&lt;EDATE('APA Inputs'!$C$23,N('APA Inputs'!$D$23))),'APA Inputs'!$J$23,0)+IF(N('APA Inputs'!$H$23)&gt;0,IF(AY$4=EDATE('APA Inputs'!$C$23,'APA Inputs'!$H$23-1),N('APA Inputs'!$G$23),0),0))*IF('APA Inputs'!$I$23="",1,'APA Inputs'!$I$23))</f>
        <v>0</v>
      </c>
      <c r="AZ8" s="409" t="n">
        <f aca="false">IF('APA Inputs'!$C$23="",0,(IF(AND(AZ$4&gt;='APA Inputs'!$C$23,AZ$4&lt;EDATE('APA Inputs'!$C$23,N('APA Inputs'!$D$23))),'APA Inputs'!$J$23,0)+IF(N('APA Inputs'!$H$23)&gt;0,IF(AZ$4=EDATE('APA Inputs'!$C$23,'APA Inputs'!$H$23-1),N('APA Inputs'!$G$23),0),0))*IF('APA Inputs'!$I$23="",1,'APA Inputs'!$I$23))</f>
        <v>0</v>
      </c>
      <c r="BA8" s="409" t="n">
        <f aca="false">IF('APA Inputs'!$C$23="",0,(IF(AND(BA$4&gt;='APA Inputs'!$C$23,BA$4&lt;EDATE('APA Inputs'!$C$23,N('APA Inputs'!$D$23))),'APA Inputs'!$J$23,0)+IF(N('APA Inputs'!$H$23)&gt;0,IF(BA$4=EDATE('APA Inputs'!$C$23,'APA Inputs'!$H$23-1),N('APA Inputs'!$G$23),0),0))*IF('APA Inputs'!$I$23="",1,'APA Inputs'!$I$23))</f>
        <v>0</v>
      </c>
      <c r="BB8" s="409" t="n">
        <f aca="false">IF('APA Inputs'!$C$23="",0,(IF(AND(BB$4&gt;='APA Inputs'!$C$23,BB$4&lt;EDATE('APA Inputs'!$C$23,N('APA Inputs'!$D$23))),'APA Inputs'!$J$23,0)+IF(N('APA Inputs'!$H$23)&gt;0,IF(BB$4=EDATE('APA Inputs'!$C$23,'APA Inputs'!$H$23-1),N('APA Inputs'!$G$23),0),0))*IF('APA Inputs'!$I$23="",1,'APA Inputs'!$I$23))</f>
        <v>0</v>
      </c>
      <c r="BC8" s="409" t="n">
        <f aca="false">IF('APA Inputs'!$C$23="",0,(IF(AND(BC$4&gt;='APA Inputs'!$C$23,BC$4&lt;EDATE('APA Inputs'!$C$23,N('APA Inputs'!$D$23))),'APA Inputs'!$J$23,0)+IF(N('APA Inputs'!$H$23)&gt;0,IF(BC$4=EDATE('APA Inputs'!$C$23,'APA Inputs'!$H$23-1),N('APA Inputs'!$G$23),0),0))*IF('APA Inputs'!$I$23="",1,'APA Inputs'!$I$23))</f>
        <v>0</v>
      </c>
      <c r="BD8" s="409" t="n">
        <f aca="false">IF('APA Inputs'!$C$23="",0,(IF(AND(BD$4&gt;='APA Inputs'!$C$23,BD$4&lt;EDATE('APA Inputs'!$C$23,N('APA Inputs'!$D$23))),'APA Inputs'!$J$23,0)+IF(N('APA Inputs'!$H$23)&gt;0,IF(BD$4=EDATE('APA Inputs'!$C$23,'APA Inputs'!$H$23-1),N('APA Inputs'!$G$23),0),0))*IF('APA Inputs'!$I$23="",1,'APA Inputs'!$I$23))</f>
        <v>0</v>
      </c>
      <c r="BE8" s="409" t="n">
        <f aca="false">IF('APA Inputs'!$C$23="",0,(IF(AND(BE$4&gt;='APA Inputs'!$C$23,BE$4&lt;EDATE('APA Inputs'!$C$23,N('APA Inputs'!$D$23))),'APA Inputs'!$J$23,0)+IF(N('APA Inputs'!$H$23)&gt;0,IF(BE$4=EDATE('APA Inputs'!$C$23,'APA Inputs'!$H$23-1),N('APA Inputs'!$G$23),0),0))*IF('APA Inputs'!$I$23="",1,'APA Inputs'!$I$23))</f>
        <v>0</v>
      </c>
      <c r="BF8" s="409" t="n">
        <f aca="false">IF('APA Inputs'!$C$23="",0,(IF(AND(BF$4&gt;='APA Inputs'!$C$23,BF$4&lt;EDATE('APA Inputs'!$C$23,N('APA Inputs'!$D$23))),'APA Inputs'!$J$23,0)+IF(N('APA Inputs'!$H$23)&gt;0,IF(BF$4=EDATE('APA Inputs'!$C$23,'APA Inputs'!$H$23-1),N('APA Inputs'!$G$23),0),0))*IF('APA Inputs'!$I$23="",1,'APA Inputs'!$I$23))</f>
        <v>0</v>
      </c>
      <c r="BG8" s="409" t="n">
        <f aca="false">IF('APA Inputs'!$C$23="",0,(IF(AND(BG$4&gt;='APA Inputs'!$C$23,BG$4&lt;EDATE('APA Inputs'!$C$23,N('APA Inputs'!$D$23))),'APA Inputs'!$J$23,0)+IF(N('APA Inputs'!$H$23)&gt;0,IF(BG$4=EDATE('APA Inputs'!$C$23,'APA Inputs'!$H$23-1),N('APA Inputs'!$G$23),0),0))*IF('APA Inputs'!$I$23="",1,'APA Inputs'!$I$23))</f>
        <v>0</v>
      </c>
      <c r="BH8" s="409" t="n">
        <f aca="false">IF('APA Inputs'!$C$23="",0,(IF(AND(BH$4&gt;='APA Inputs'!$C$23,BH$4&lt;EDATE('APA Inputs'!$C$23,N('APA Inputs'!$D$23))),'APA Inputs'!$J$23,0)+IF(N('APA Inputs'!$H$23)&gt;0,IF(BH$4=EDATE('APA Inputs'!$C$23,'APA Inputs'!$H$23-1),N('APA Inputs'!$G$23),0),0))*IF('APA Inputs'!$I$23="",1,'APA Inputs'!$I$23))</f>
        <v>0</v>
      </c>
      <c r="BI8" s="409" t="n">
        <f aca="false">IF('APA Inputs'!$C$23="",0,(IF(AND(BI$4&gt;='APA Inputs'!$C$23,BI$4&lt;EDATE('APA Inputs'!$C$23,N('APA Inputs'!$D$23))),'APA Inputs'!$J$23,0)+IF(N('APA Inputs'!$H$23)&gt;0,IF(BI$4=EDATE('APA Inputs'!$C$23,'APA Inputs'!$H$23-1),N('APA Inputs'!$G$23),0),0))*IF('APA Inputs'!$I$23="",1,'APA Inputs'!$I$23))</f>
        <v>0</v>
      </c>
      <c r="BJ8" s="409" t="n">
        <f aca="false">IF('APA Inputs'!$C$23="",0,(IF(AND(BJ$4&gt;='APA Inputs'!$C$23,BJ$4&lt;EDATE('APA Inputs'!$C$23,N('APA Inputs'!$D$23))),'APA Inputs'!$J$23,0)+IF(N('APA Inputs'!$H$23)&gt;0,IF(BJ$4=EDATE('APA Inputs'!$C$23,'APA Inputs'!$H$23-1),N('APA Inputs'!$G$23),0),0))*IF('APA Inputs'!$I$23="",1,'APA Inputs'!$I$23))</f>
        <v>0</v>
      </c>
      <c r="BK8" s="409" t="n">
        <f aca="false">IF('APA Inputs'!$C$23="",0,(IF(AND(BK$4&gt;='APA Inputs'!$C$23,BK$4&lt;EDATE('APA Inputs'!$C$23,N('APA Inputs'!$D$23))),'APA Inputs'!$J$23,0)+IF(N('APA Inputs'!$H$23)&gt;0,IF(BK$4=EDATE('APA Inputs'!$C$23,'APA Inputs'!$H$23-1),N('APA Inputs'!$G$23),0),0))*IF('APA Inputs'!$I$23="",1,'APA Inputs'!$I$23))</f>
        <v>0</v>
      </c>
      <c r="BL8" s="409" t="n">
        <f aca="false">IF('APA Inputs'!$C$23="",0,(IF(AND(BL$4&gt;='APA Inputs'!$C$23,BL$4&lt;EDATE('APA Inputs'!$C$23,N('APA Inputs'!$D$23))),'APA Inputs'!$J$23,0)+IF(N('APA Inputs'!$H$23)&gt;0,IF(BL$4=EDATE('APA Inputs'!$C$23,'APA Inputs'!$H$23-1),N('APA Inputs'!$G$23),0),0))*IF('APA Inputs'!$I$23="",1,'APA Inputs'!$I$23))</f>
        <v>0</v>
      </c>
      <c r="BM8" s="409" t="n">
        <f aca="false">IF('APA Inputs'!$C$23="",0,(IF(AND(BM$4&gt;='APA Inputs'!$C$23,BM$4&lt;EDATE('APA Inputs'!$C$23,N('APA Inputs'!$D$23))),'APA Inputs'!$J$23,0)+IF(N('APA Inputs'!$H$23)&gt;0,IF(BM$4=EDATE('APA Inputs'!$C$23,'APA Inputs'!$H$23-1),N('APA Inputs'!$G$23),0),0))*IF('APA Inputs'!$I$23="",1,'APA Inputs'!$I$23))</f>
        <v>0</v>
      </c>
      <c r="BN8" s="409" t="n">
        <f aca="false">IF('APA Inputs'!$C$23="",0,(IF(AND(BN$4&gt;='APA Inputs'!$C$23,BN$4&lt;EDATE('APA Inputs'!$C$23,N('APA Inputs'!$D$23))),'APA Inputs'!$J$23,0)+IF(N('APA Inputs'!$H$23)&gt;0,IF(BN$4=EDATE('APA Inputs'!$C$23,'APA Inputs'!$H$23-1),N('APA Inputs'!$G$23),0),0))*IF('APA Inputs'!$I$23="",1,'APA Inputs'!$I$23))</f>
        <v>0</v>
      </c>
      <c r="BO8" s="409" t="n">
        <f aca="false">IF('APA Inputs'!$C$23="",0,(IF(AND(BO$4&gt;='APA Inputs'!$C$23,BO$4&lt;EDATE('APA Inputs'!$C$23,N('APA Inputs'!$D$23))),'APA Inputs'!$J$23,0)+IF(N('APA Inputs'!$H$23)&gt;0,IF(BO$4=EDATE('APA Inputs'!$C$23,'APA Inputs'!$H$23-1),N('APA Inputs'!$G$23),0),0))*IF('APA Inputs'!$I$23="",1,'APA Inputs'!$I$23))</f>
        <v>0</v>
      </c>
      <c r="BP8" s="409" t="n">
        <f aca="false">IF('APA Inputs'!$C$23="",0,(IF(AND(BP$4&gt;='APA Inputs'!$C$23,BP$4&lt;EDATE('APA Inputs'!$C$23,N('APA Inputs'!$D$23))),'APA Inputs'!$J$23,0)+IF(N('APA Inputs'!$H$23)&gt;0,IF(BP$4=EDATE('APA Inputs'!$C$23,'APA Inputs'!$H$23-1),N('APA Inputs'!$G$23),0),0))*IF('APA Inputs'!$I$23="",1,'APA Inputs'!$I$23))</f>
        <v>0</v>
      </c>
      <c r="BQ8" s="409" t="n">
        <f aca="false">IF('APA Inputs'!$C$23="",0,(IF(AND(BQ$4&gt;='APA Inputs'!$C$23,BQ$4&lt;EDATE('APA Inputs'!$C$23,N('APA Inputs'!$D$23))),'APA Inputs'!$J$23,0)+IF(N('APA Inputs'!$H$23)&gt;0,IF(BQ$4=EDATE('APA Inputs'!$C$23,'APA Inputs'!$H$23-1),N('APA Inputs'!$G$23),0),0))*IF('APA Inputs'!$I$23="",1,'APA Inputs'!$I$23))</f>
        <v>0</v>
      </c>
      <c r="BR8" s="409" t="n">
        <f aca="false">IF('APA Inputs'!$C$23="",0,(IF(AND(BR$4&gt;='APA Inputs'!$C$23,BR$4&lt;EDATE('APA Inputs'!$C$23,N('APA Inputs'!$D$23))),'APA Inputs'!$J$23,0)+IF(N('APA Inputs'!$H$23)&gt;0,IF(BR$4=EDATE('APA Inputs'!$C$23,'APA Inputs'!$H$23-1),N('APA Inputs'!$G$23),0),0))*IF('APA Inputs'!$I$23="",1,'APA Inputs'!$I$23))</f>
        <v>0</v>
      </c>
      <c r="BS8" s="409" t="n">
        <f aca="false">IF('APA Inputs'!$C$23="",0,(IF(AND(BS$4&gt;='APA Inputs'!$C$23,BS$4&lt;EDATE('APA Inputs'!$C$23,N('APA Inputs'!$D$23))),'APA Inputs'!$J$23,0)+IF(N('APA Inputs'!$H$23)&gt;0,IF(BS$4=EDATE('APA Inputs'!$C$23,'APA Inputs'!$H$23-1),N('APA Inputs'!$G$23),0),0))*IF('APA Inputs'!$I$23="",1,'APA Inputs'!$I$23))</f>
        <v>0</v>
      </c>
      <c r="BT8" s="409" t="n">
        <f aca="false">IF('APA Inputs'!$C$23="",0,(IF(AND(BT$4&gt;='APA Inputs'!$C$23,BT$4&lt;EDATE('APA Inputs'!$C$23,N('APA Inputs'!$D$23))),'APA Inputs'!$J$23,0)+IF(N('APA Inputs'!$H$23)&gt;0,IF(BT$4=EDATE('APA Inputs'!$C$23,'APA Inputs'!$H$23-1),N('APA Inputs'!$G$23),0),0))*IF('APA Inputs'!$I$23="",1,'APA Inputs'!$I$23))</f>
        <v>0</v>
      </c>
      <c r="BU8" s="409" t="n">
        <f aca="false">IF('APA Inputs'!$C$23="",0,(IF(AND(BU$4&gt;='APA Inputs'!$C$23,BU$4&lt;EDATE('APA Inputs'!$C$23,N('APA Inputs'!$D$23))),'APA Inputs'!$J$23,0)+IF(N('APA Inputs'!$H$23)&gt;0,IF(BU$4=EDATE('APA Inputs'!$C$23,'APA Inputs'!$H$23-1),N('APA Inputs'!$G$23),0),0))*IF('APA Inputs'!$I$23="",1,'APA Inputs'!$I$23))</f>
        <v>0</v>
      </c>
      <c r="BV8" s="409" t="n">
        <f aca="false">IF('APA Inputs'!$C$23="",0,(IF(AND(BV$4&gt;='APA Inputs'!$C$23,BV$4&lt;EDATE('APA Inputs'!$C$23,N('APA Inputs'!$D$23))),'APA Inputs'!$J$23,0)+IF(N('APA Inputs'!$H$23)&gt;0,IF(BV$4=EDATE('APA Inputs'!$C$23,'APA Inputs'!$H$23-1),N('APA Inputs'!$G$23),0),0))*IF('APA Inputs'!$I$23="",1,'APA Inputs'!$I$23))</f>
        <v>0</v>
      </c>
      <c r="BW8" s="409" t="n">
        <f aca="false">IF('APA Inputs'!$C$23="",0,(IF(AND(BW$4&gt;='APA Inputs'!$C$23,BW$4&lt;EDATE('APA Inputs'!$C$23,N('APA Inputs'!$D$23))),'APA Inputs'!$J$23,0)+IF(N('APA Inputs'!$H$23)&gt;0,IF(BW$4=EDATE('APA Inputs'!$C$23,'APA Inputs'!$H$23-1),N('APA Inputs'!$G$23),0),0))*IF('APA Inputs'!$I$23="",1,'APA Inputs'!$I$23))</f>
        <v>0</v>
      </c>
      <c r="BX8" s="409" t="n">
        <f aca="false">IF('APA Inputs'!$C$23="",0,(IF(AND(BX$4&gt;='APA Inputs'!$C$23,BX$4&lt;EDATE('APA Inputs'!$C$23,N('APA Inputs'!$D$23))),'APA Inputs'!$J$23,0)+IF(N('APA Inputs'!$H$23)&gt;0,IF(BX$4=EDATE('APA Inputs'!$C$23,'APA Inputs'!$H$23-1),N('APA Inputs'!$G$23),0),0))*IF('APA Inputs'!$I$23="",1,'APA Inputs'!$I$23))</f>
        <v>0</v>
      </c>
      <c r="BY8" s="409" t="n">
        <f aca="false">IF('APA Inputs'!$C$23="",0,(IF(AND(BY$4&gt;='APA Inputs'!$C$23,BY$4&lt;EDATE('APA Inputs'!$C$23,N('APA Inputs'!$D$23))),'APA Inputs'!$J$23,0)+IF(N('APA Inputs'!$H$23)&gt;0,IF(BY$4=EDATE('APA Inputs'!$C$23,'APA Inputs'!$H$23-1),N('APA Inputs'!$G$23),0),0))*IF('APA Inputs'!$I$23="",1,'APA Inputs'!$I$23))</f>
        <v>0</v>
      </c>
      <c r="BZ8" s="409" t="n">
        <f aca="false">IF('APA Inputs'!$C$23="",0,(IF(AND(BZ$4&gt;='APA Inputs'!$C$23,BZ$4&lt;EDATE('APA Inputs'!$C$23,N('APA Inputs'!$D$23))),'APA Inputs'!$J$23,0)+IF(N('APA Inputs'!$H$23)&gt;0,IF(BZ$4=EDATE('APA Inputs'!$C$23,'APA Inputs'!$H$23-1),N('APA Inputs'!$G$23),0),0))*IF('APA Inputs'!$I$23="",1,'APA Inputs'!$I$23))</f>
        <v>0</v>
      </c>
      <c r="CA8" s="409" t="n">
        <f aca="false">IF('APA Inputs'!$C$23="",0,(IF(AND(CA$4&gt;='APA Inputs'!$C$23,CA$4&lt;EDATE('APA Inputs'!$C$23,N('APA Inputs'!$D$23))),'APA Inputs'!$J$23,0)+IF(N('APA Inputs'!$H$23)&gt;0,IF(CA$4=EDATE('APA Inputs'!$C$23,'APA Inputs'!$H$23-1),N('APA Inputs'!$G$23),0),0))*IF('APA Inputs'!$I$23="",1,'APA Inputs'!$I$23))</f>
        <v>0</v>
      </c>
      <c r="CB8" s="409" t="n">
        <f aca="false">IF('APA Inputs'!$C$23="",0,(IF(AND(CB$4&gt;='APA Inputs'!$C$23,CB$4&lt;EDATE('APA Inputs'!$C$23,N('APA Inputs'!$D$23))),'APA Inputs'!$J$23,0)+IF(N('APA Inputs'!$H$23)&gt;0,IF(CB$4=EDATE('APA Inputs'!$C$23,'APA Inputs'!$H$23-1),N('APA Inputs'!$G$23),0),0))*IF('APA Inputs'!$I$23="",1,'APA Inputs'!$I$23))</f>
        <v>0</v>
      </c>
      <c r="CC8" s="409" t="n">
        <f aca="false">IF('APA Inputs'!$C$23="",0,(IF(AND(CC$4&gt;='APA Inputs'!$C$23,CC$4&lt;EDATE('APA Inputs'!$C$23,N('APA Inputs'!$D$23))),'APA Inputs'!$J$23,0)+IF(N('APA Inputs'!$H$23)&gt;0,IF(CC$4=EDATE('APA Inputs'!$C$23,'APA Inputs'!$H$23-1),N('APA Inputs'!$G$23),0),0))*IF('APA Inputs'!$I$23="",1,'APA Inputs'!$I$23))</f>
        <v>0</v>
      </c>
      <c r="CD8" s="409" t="n">
        <f aca="false">IF('APA Inputs'!$C$23="",0,(IF(AND(CD$4&gt;='APA Inputs'!$C$23,CD$4&lt;EDATE('APA Inputs'!$C$23,N('APA Inputs'!$D$23))),'APA Inputs'!$J$23,0)+IF(N('APA Inputs'!$H$23)&gt;0,IF(CD$4=EDATE('APA Inputs'!$C$23,'APA Inputs'!$H$23-1),N('APA Inputs'!$G$23),0),0))*IF('APA Inputs'!$I$23="",1,'APA Inputs'!$I$23))</f>
        <v>0</v>
      </c>
      <c r="CE8" s="409" t="n">
        <f aca="false">IF('APA Inputs'!$C$23="",0,(IF(AND(CE$4&gt;='APA Inputs'!$C$23,CE$4&lt;EDATE('APA Inputs'!$C$23,N('APA Inputs'!$D$23))),'APA Inputs'!$J$23,0)+IF(N('APA Inputs'!$H$23)&gt;0,IF(CE$4=EDATE('APA Inputs'!$C$23,'APA Inputs'!$H$23-1),N('APA Inputs'!$G$23),0),0))*IF('APA Inputs'!$I$23="",1,'APA Inputs'!$I$23))</f>
        <v>0</v>
      </c>
      <c r="CF8" s="409" t="n">
        <f aca="false">IF('APA Inputs'!$C$23="",0,(IF(AND(CF$4&gt;='APA Inputs'!$C$23,CF$4&lt;EDATE('APA Inputs'!$C$23,N('APA Inputs'!$D$23))),'APA Inputs'!$J$23,0)+IF(N('APA Inputs'!$H$23)&gt;0,IF(CF$4=EDATE('APA Inputs'!$C$23,'APA Inputs'!$H$23-1),N('APA Inputs'!$G$23),0),0))*IF('APA Inputs'!$I$23="",1,'APA Inputs'!$I$23))</f>
        <v>0</v>
      </c>
      <c r="CG8" s="409" t="n">
        <f aca="false">IF('APA Inputs'!$C$23="",0,(IF(AND(CG$4&gt;='APA Inputs'!$C$23,CG$4&lt;EDATE('APA Inputs'!$C$23,N('APA Inputs'!$D$23))),'APA Inputs'!$J$23,0)+IF(N('APA Inputs'!$H$23)&gt;0,IF(CG$4=EDATE('APA Inputs'!$C$23,'APA Inputs'!$H$23-1),N('APA Inputs'!$G$23),0),0))*IF('APA Inputs'!$I$23="",1,'APA Inputs'!$I$23))</f>
        <v>0</v>
      </c>
      <c r="CH8" s="409" t="n">
        <f aca="false">IF('APA Inputs'!$C$23="",0,(IF(AND(CH$4&gt;='APA Inputs'!$C$23,CH$4&lt;EDATE('APA Inputs'!$C$23,N('APA Inputs'!$D$23))),'APA Inputs'!$J$23,0)+IF(N('APA Inputs'!$H$23)&gt;0,IF(CH$4=EDATE('APA Inputs'!$C$23,'APA Inputs'!$H$23-1),N('APA Inputs'!$G$23),0),0))*IF('APA Inputs'!$I$23="",1,'APA Inputs'!$I$23))</f>
        <v>0</v>
      </c>
      <c r="CI8" s="409" t="n">
        <f aca="false">IF('APA Inputs'!$C$23="",0,(IF(AND(CI$4&gt;='APA Inputs'!$C$23,CI$4&lt;EDATE('APA Inputs'!$C$23,N('APA Inputs'!$D$23))),'APA Inputs'!$J$23,0)+IF(N('APA Inputs'!$H$23)&gt;0,IF(CI$4=EDATE('APA Inputs'!$C$23,'APA Inputs'!$H$23-1),N('APA Inputs'!$G$23),0),0))*IF('APA Inputs'!$I$23="",1,'APA Inputs'!$I$23))</f>
        <v>0</v>
      </c>
      <c r="CJ8" s="409" t="n">
        <f aca="false">IF('APA Inputs'!$C$23="",0,(IF(AND(CJ$4&gt;='APA Inputs'!$C$23,CJ$4&lt;EDATE('APA Inputs'!$C$23,N('APA Inputs'!$D$23))),'APA Inputs'!$J$23,0)+IF(N('APA Inputs'!$H$23)&gt;0,IF(CJ$4=EDATE('APA Inputs'!$C$23,'APA Inputs'!$H$23-1),N('APA Inputs'!$G$23),0),0))*IF('APA Inputs'!$I$23="",1,'APA Inputs'!$I$23))</f>
        <v>0</v>
      </c>
      <c r="CK8" s="409" t="n">
        <f aca="false">IF('APA Inputs'!$C$23="",0,(IF(AND(CK$4&gt;='APA Inputs'!$C$23,CK$4&lt;EDATE('APA Inputs'!$C$23,N('APA Inputs'!$D$23))),'APA Inputs'!$J$23,0)+IF(N('APA Inputs'!$H$23)&gt;0,IF(CK$4=EDATE('APA Inputs'!$C$23,'APA Inputs'!$H$23-1),N('APA Inputs'!$G$23),0),0))*IF('APA Inputs'!$I$23="",1,'APA Inputs'!$I$23))</f>
        <v>0</v>
      </c>
      <c r="CL8" s="409" t="n">
        <f aca="false">IF('APA Inputs'!$C$23="",0,(IF(AND(CL$4&gt;='APA Inputs'!$C$23,CL$4&lt;EDATE('APA Inputs'!$C$23,N('APA Inputs'!$D$23))),'APA Inputs'!$J$23,0)+IF(N('APA Inputs'!$H$23)&gt;0,IF(CL$4=EDATE('APA Inputs'!$C$23,'APA Inputs'!$H$23-1),N('APA Inputs'!$G$23),0),0))*IF('APA Inputs'!$I$23="",1,'APA Inputs'!$I$23))</f>
        <v>0</v>
      </c>
      <c r="CM8" s="409" t="n">
        <f aca="false">IF('APA Inputs'!$C$23="",0,(IF(AND(CM$4&gt;='APA Inputs'!$C$23,CM$4&lt;EDATE('APA Inputs'!$C$23,N('APA Inputs'!$D$23))),'APA Inputs'!$J$23,0)+IF(N('APA Inputs'!$H$23)&gt;0,IF(CM$4=EDATE('APA Inputs'!$C$23,'APA Inputs'!$H$23-1),N('APA Inputs'!$G$23),0),0))*IF('APA Inputs'!$I$23="",1,'APA Inputs'!$I$23))</f>
        <v>0</v>
      </c>
      <c r="CN8" s="409" t="n">
        <f aca="false">IF('APA Inputs'!$C$23="",0,(IF(AND(CN$4&gt;='APA Inputs'!$C$23,CN$4&lt;EDATE('APA Inputs'!$C$23,N('APA Inputs'!$D$23))),'APA Inputs'!$J$23,0)+IF(N('APA Inputs'!$H$23)&gt;0,IF(CN$4=EDATE('APA Inputs'!$C$23,'APA Inputs'!$H$23-1),N('APA Inputs'!$G$23),0),0))*IF('APA Inputs'!$I$23="",1,'APA Inputs'!$I$23))</f>
        <v>0</v>
      </c>
      <c r="CO8" s="409" t="n">
        <f aca="false">IF('APA Inputs'!$C$23="",0,(IF(AND(CO$4&gt;='APA Inputs'!$C$23,CO$4&lt;EDATE('APA Inputs'!$C$23,N('APA Inputs'!$D$23))),'APA Inputs'!$J$23,0)+IF(N('APA Inputs'!$H$23)&gt;0,IF(CO$4=EDATE('APA Inputs'!$C$23,'APA Inputs'!$H$23-1),N('APA Inputs'!$G$23),0),0))*IF('APA Inputs'!$I$23="",1,'APA Inputs'!$I$23))</f>
        <v>0</v>
      </c>
      <c r="CP8" s="409" t="n">
        <f aca="false">IF('APA Inputs'!$C$23="",0,(IF(AND(CP$4&gt;='APA Inputs'!$C$23,CP$4&lt;EDATE('APA Inputs'!$C$23,N('APA Inputs'!$D$23))),'APA Inputs'!$J$23,0)+IF(N('APA Inputs'!$H$23)&gt;0,IF(CP$4=EDATE('APA Inputs'!$C$23,'APA Inputs'!$H$23-1),N('APA Inputs'!$G$23),0),0))*IF('APA Inputs'!$I$23="",1,'APA Inputs'!$I$23))</f>
        <v>0</v>
      </c>
      <c r="CQ8" s="409" t="n">
        <f aca="false">IF('APA Inputs'!$C$23="",0,(IF(AND(CQ$4&gt;='APA Inputs'!$C$23,CQ$4&lt;EDATE('APA Inputs'!$C$23,N('APA Inputs'!$D$23))),'APA Inputs'!$J$23,0)+IF(N('APA Inputs'!$H$23)&gt;0,IF(CQ$4=EDATE('APA Inputs'!$C$23,'APA Inputs'!$H$23-1),N('APA Inputs'!$G$23),0),0))*IF('APA Inputs'!$I$23="",1,'APA Inputs'!$I$23))</f>
        <v>0</v>
      </c>
      <c r="CR8" s="409" t="n">
        <f aca="false">IF('APA Inputs'!$C$23="",0,(IF(AND(CR$4&gt;='APA Inputs'!$C$23,CR$4&lt;EDATE('APA Inputs'!$C$23,N('APA Inputs'!$D$23))),'APA Inputs'!$J$23,0)+IF(N('APA Inputs'!$H$23)&gt;0,IF(CR$4=EDATE('APA Inputs'!$C$23,'APA Inputs'!$H$23-1),N('APA Inputs'!$G$23),0),0))*IF('APA Inputs'!$I$23="",1,'APA Inputs'!$I$23))</f>
        <v>0</v>
      </c>
      <c r="CS8" s="409" t="n">
        <f aca="false">IF('APA Inputs'!$C$23="",0,(IF(AND(CS$4&gt;='APA Inputs'!$C$23,CS$4&lt;EDATE('APA Inputs'!$C$23,N('APA Inputs'!$D$23))),'APA Inputs'!$J$23,0)+IF(N('APA Inputs'!$H$23)&gt;0,IF(CS$4=EDATE('APA Inputs'!$C$23,'APA Inputs'!$H$23-1),N('APA Inputs'!$G$23),0),0))*IF('APA Inputs'!$I$23="",1,'APA Inputs'!$I$23))</f>
        <v>0</v>
      </c>
      <c r="CT8" s="409" t="n">
        <f aca="false">IF('APA Inputs'!$C$23="",0,(IF(AND(CT$4&gt;='APA Inputs'!$C$23,CT$4&lt;EDATE('APA Inputs'!$C$23,N('APA Inputs'!$D$23))),'APA Inputs'!$J$23,0)+IF(N('APA Inputs'!$H$23)&gt;0,IF(CT$4=EDATE('APA Inputs'!$C$23,'APA Inputs'!$H$23-1),N('APA Inputs'!$G$23),0),0))*IF('APA Inputs'!$I$23="",1,'APA Inputs'!$I$23))</f>
        <v>0</v>
      </c>
      <c r="CU8" s="409" t="n">
        <f aca="false">IF('APA Inputs'!$C$23="",0,(IF(AND(CU$4&gt;='APA Inputs'!$C$23,CU$4&lt;EDATE('APA Inputs'!$C$23,N('APA Inputs'!$D$23))),'APA Inputs'!$J$23,0)+IF(N('APA Inputs'!$H$23)&gt;0,IF(CU$4=EDATE('APA Inputs'!$C$23,'APA Inputs'!$H$23-1),N('APA Inputs'!$G$23),0),0))*IF('APA Inputs'!$I$23="",1,'APA Inputs'!$I$23))</f>
        <v>0</v>
      </c>
      <c r="CV8" s="409" t="n">
        <f aca="false">IF('APA Inputs'!$C$23="",0,(IF(AND(CV$4&gt;='APA Inputs'!$C$23,CV$4&lt;EDATE('APA Inputs'!$C$23,N('APA Inputs'!$D$23))),'APA Inputs'!$J$23,0)+IF(N('APA Inputs'!$H$23)&gt;0,IF(CV$4=EDATE('APA Inputs'!$C$23,'APA Inputs'!$H$23-1),N('APA Inputs'!$G$23),0),0))*IF('APA Inputs'!$I$23="",1,'APA Inputs'!$I$23))</f>
        <v>0</v>
      </c>
      <c r="CW8" s="409" t="n">
        <f aca="false">IF('APA Inputs'!$C$23="",0,(IF(AND(CW$4&gt;='APA Inputs'!$C$23,CW$4&lt;EDATE('APA Inputs'!$C$23,N('APA Inputs'!$D$23))),'APA Inputs'!$J$23,0)+IF(N('APA Inputs'!$H$23)&gt;0,IF(CW$4=EDATE('APA Inputs'!$C$23,'APA Inputs'!$H$23-1),N('APA Inputs'!$G$23),0),0))*IF('APA Inputs'!$I$23="",1,'APA Inputs'!$I$23))</f>
        <v>0</v>
      </c>
      <c r="CX8" s="409" t="n">
        <f aca="false">IF('APA Inputs'!$C$23="",0,(IF(AND(CX$4&gt;='APA Inputs'!$C$23,CX$4&lt;EDATE('APA Inputs'!$C$23,N('APA Inputs'!$D$23))),'APA Inputs'!$J$23,0)+IF(N('APA Inputs'!$H$23)&gt;0,IF(CX$4=EDATE('APA Inputs'!$C$23,'APA Inputs'!$H$23-1),N('APA Inputs'!$G$23),0),0))*IF('APA Inputs'!$I$23="",1,'APA Inputs'!$I$23))</f>
        <v>0</v>
      </c>
      <c r="CY8" s="409" t="n">
        <f aca="false">IF('APA Inputs'!$C$23="",0,(IF(AND(CY$4&gt;='APA Inputs'!$C$23,CY$4&lt;EDATE('APA Inputs'!$C$23,N('APA Inputs'!$D$23))),'APA Inputs'!$J$23,0)+IF(N('APA Inputs'!$H$23)&gt;0,IF(CY$4=EDATE('APA Inputs'!$C$23,'APA Inputs'!$H$23-1),N('APA Inputs'!$G$23),0),0))*IF('APA Inputs'!$I$23="",1,'APA Inputs'!$I$23))</f>
        <v>0</v>
      </c>
      <c r="CZ8" s="409" t="n">
        <f aca="false">IF('APA Inputs'!$C$23="",0,(IF(AND(CZ$4&gt;='APA Inputs'!$C$23,CZ$4&lt;EDATE('APA Inputs'!$C$23,N('APA Inputs'!$D$23))),'APA Inputs'!$J$23,0)+IF(N('APA Inputs'!$H$23)&gt;0,IF(CZ$4=EDATE('APA Inputs'!$C$23,'APA Inputs'!$H$23-1),N('APA Inputs'!$G$23),0),0))*IF('APA Inputs'!$I$23="",1,'APA Inputs'!$I$23))</f>
        <v>0</v>
      </c>
      <c r="DA8" s="409" t="n">
        <f aca="false">IF('APA Inputs'!$C$23="",0,(IF(AND(DA$4&gt;='APA Inputs'!$C$23,DA$4&lt;EDATE('APA Inputs'!$C$23,N('APA Inputs'!$D$23))),'APA Inputs'!$J$23,0)+IF(N('APA Inputs'!$H$23)&gt;0,IF(DA$4=EDATE('APA Inputs'!$C$23,'APA Inputs'!$H$23-1),N('APA Inputs'!$G$23),0),0))*IF('APA Inputs'!$I$23="",1,'APA Inputs'!$I$23))</f>
        <v>0</v>
      </c>
      <c r="DB8" s="409" t="n">
        <f aca="false">IF('APA Inputs'!$C$23="",0,(IF(AND(DB$4&gt;='APA Inputs'!$C$23,DB$4&lt;EDATE('APA Inputs'!$C$23,N('APA Inputs'!$D$23))),'APA Inputs'!$J$23,0)+IF(N('APA Inputs'!$H$23)&gt;0,IF(DB$4=EDATE('APA Inputs'!$C$23,'APA Inputs'!$H$23-1),N('APA Inputs'!$G$23),0),0))*IF('APA Inputs'!$I$23="",1,'APA Inputs'!$I$23))</f>
        <v>0</v>
      </c>
      <c r="DC8" s="409" t="n">
        <f aca="false">IF('APA Inputs'!$C$23="",0,(IF(AND(DC$4&gt;='APA Inputs'!$C$23,DC$4&lt;EDATE('APA Inputs'!$C$23,N('APA Inputs'!$D$23))),'APA Inputs'!$J$23,0)+IF(N('APA Inputs'!$H$23)&gt;0,IF(DC$4=EDATE('APA Inputs'!$C$23,'APA Inputs'!$H$23-1),N('APA Inputs'!$G$23),0),0))*IF('APA Inputs'!$I$23="",1,'APA Inputs'!$I$23))</f>
        <v>0</v>
      </c>
      <c r="DD8" s="409" t="n">
        <f aca="false">IF('APA Inputs'!$C$23="",0,(IF(AND(DD$4&gt;='APA Inputs'!$C$23,DD$4&lt;EDATE('APA Inputs'!$C$23,N('APA Inputs'!$D$23))),'APA Inputs'!$J$23,0)+IF(N('APA Inputs'!$H$23)&gt;0,IF(DD$4=EDATE('APA Inputs'!$C$23,'APA Inputs'!$H$23-1),N('APA Inputs'!$G$23),0),0))*IF('APA Inputs'!$I$23="",1,'APA Inputs'!$I$23))</f>
        <v>0</v>
      </c>
      <c r="DE8" s="40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09" t="n">
        <f aca="false">IF('APA Inputs'!$C$24="",0,(IF(AND(B$4&gt;='APA Inputs'!$C$24,B$4&lt;EDATE('APA Inputs'!$C$24,N('APA Inputs'!$D$24))),'APA Inputs'!$J$24,0)+IF(N('APA Inputs'!$H$24)&gt;0,IF(B$4=EDATE('APA Inputs'!$C$24,'APA Inputs'!$H$24-1),N('APA Inputs'!$G$24),0),0))*IF('APA Inputs'!$I$24="",1,'APA Inputs'!$I$24))</f>
        <v>0</v>
      </c>
      <c r="C9" s="409" t="n">
        <f aca="false">IF('APA Inputs'!$C$24="",0,(IF(AND(C$4&gt;='APA Inputs'!$C$24,C$4&lt;EDATE('APA Inputs'!$C$24,N('APA Inputs'!$D$24))),'APA Inputs'!$J$24,0)+IF(N('APA Inputs'!$H$24)&gt;0,IF(C$4=EDATE('APA Inputs'!$C$24,'APA Inputs'!$H$24-1),N('APA Inputs'!$G$24),0),0))*IF('APA Inputs'!$I$24="",1,'APA Inputs'!$I$24))</f>
        <v>0</v>
      </c>
      <c r="D9" s="409" t="n">
        <f aca="false">IF('APA Inputs'!$C$24="",0,(IF(AND(D$4&gt;='APA Inputs'!$C$24,D$4&lt;EDATE('APA Inputs'!$C$24,N('APA Inputs'!$D$24))),'APA Inputs'!$J$24,0)+IF(N('APA Inputs'!$H$24)&gt;0,IF(D$4=EDATE('APA Inputs'!$C$24,'APA Inputs'!$H$24-1),N('APA Inputs'!$G$24),0),0))*IF('APA Inputs'!$I$24="",1,'APA Inputs'!$I$24))</f>
        <v>0</v>
      </c>
      <c r="E9" s="409" t="n">
        <f aca="false">IF('APA Inputs'!$C$24="",0,(IF(AND(E$4&gt;='APA Inputs'!$C$24,E$4&lt;EDATE('APA Inputs'!$C$24,N('APA Inputs'!$D$24))),'APA Inputs'!$J$24,0)+IF(N('APA Inputs'!$H$24)&gt;0,IF(E$4=EDATE('APA Inputs'!$C$24,'APA Inputs'!$H$24-1),N('APA Inputs'!$G$24),0),0))*IF('APA Inputs'!$I$24="",1,'APA Inputs'!$I$24))</f>
        <v>0</v>
      </c>
      <c r="F9" s="409" t="n">
        <f aca="false">IF('APA Inputs'!$C$24="",0,(IF(AND(F$4&gt;='APA Inputs'!$C$24,F$4&lt;EDATE('APA Inputs'!$C$24,N('APA Inputs'!$D$24))),'APA Inputs'!$J$24,0)+IF(N('APA Inputs'!$H$24)&gt;0,IF(F$4=EDATE('APA Inputs'!$C$24,'APA Inputs'!$H$24-1),N('APA Inputs'!$G$24),0),0))*IF('APA Inputs'!$I$24="",1,'APA Inputs'!$I$24))</f>
        <v>0</v>
      </c>
      <c r="G9" s="409" t="n">
        <f aca="false">IF('APA Inputs'!$C$24="",0,(IF(AND(G$4&gt;='APA Inputs'!$C$24,G$4&lt;EDATE('APA Inputs'!$C$24,N('APA Inputs'!$D$24))),'APA Inputs'!$J$24,0)+IF(N('APA Inputs'!$H$24)&gt;0,IF(G$4=EDATE('APA Inputs'!$C$24,'APA Inputs'!$H$24-1),N('APA Inputs'!$G$24),0),0))*IF('APA Inputs'!$I$24="",1,'APA Inputs'!$I$24))</f>
        <v>0</v>
      </c>
      <c r="H9" s="409" t="n">
        <f aca="false">IF('APA Inputs'!$C$24="",0,(IF(AND(H$4&gt;='APA Inputs'!$C$24,H$4&lt;EDATE('APA Inputs'!$C$24,N('APA Inputs'!$D$24))),'APA Inputs'!$J$24,0)+IF(N('APA Inputs'!$H$24)&gt;0,IF(H$4=EDATE('APA Inputs'!$C$24,'APA Inputs'!$H$24-1),N('APA Inputs'!$G$24),0),0))*IF('APA Inputs'!$I$24="",1,'APA Inputs'!$I$24))</f>
        <v>0</v>
      </c>
      <c r="I9" s="409" t="n">
        <f aca="false">IF('APA Inputs'!$C$24="",0,(IF(AND(I$4&gt;='APA Inputs'!$C$24,I$4&lt;EDATE('APA Inputs'!$C$24,N('APA Inputs'!$D$24))),'APA Inputs'!$J$24,0)+IF(N('APA Inputs'!$H$24)&gt;0,IF(I$4=EDATE('APA Inputs'!$C$24,'APA Inputs'!$H$24-1),N('APA Inputs'!$G$24),0),0))*IF('APA Inputs'!$I$24="",1,'APA Inputs'!$I$24))</f>
        <v>0</v>
      </c>
      <c r="J9" s="409" t="n">
        <f aca="false">IF('APA Inputs'!$C$24="",0,(IF(AND(J$4&gt;='APA Inputs'!$C$24,J$4&lt;EDATE('APA Inputs'!$C$24,N('APA Inputs'!$D$24))),'APA Inputs'!$J$24,0)+IF(N('APA Inputs'!$H$24)&gt;0,IF(J$4=EDATE('APA Inputs'!$C$24,'APA Inputs'!$H$24-1),N('APA Inputs'!$G$24),0),0))*IF('APA Inputs'!$I$24="",1,'APA Inputs'!$I$24))</f>
        <v>3332.72</v>
      </c>
      <c r="K9" s="409" t="n">
        <f aca="false">IF('APA Inputs'!$C$24="",0,(IF(AND(K$4&gt;='APA Inputs'!$C$24,K$4&lt;EDATE('APA Inputs'!$C$24,N('APA Inputs'!$D$24))),'APA Inputs'!$J$24,0)+IF(N('APA Inputs'!$H$24)&gt;0,IF(K$4=EDATE('APA Inputs'!$C$24,'APA Inputs'!$H$24-1),N('APA Inputs'!$G$24),0),0))*IF('APA Inputs'!$I$24="",1,'APA Inputs'!$I$24))</f>
        <v>3332.72</v>
      </c>
      <c r="L9" s="409" t="n">
        <f aca="false">IF('APA Inputs'!$C$24="",0,(IF(AND(L$4&gt;='APA Inputs'!$C$24,L$4&lt;EDATE('APA Inputs'!$C$24,N('APA Inputs'!$D$24))),'APA Inputs'!$J$24,0)+IF(N('APA Inputs'!$H$24)&gt;0,IF(L$4=EDATE('APA Inputs'!$C$24,'APA Inputs'!$H$24-1),N('APA Inputs'!$G$24),0),0))*IF('APA Inputs'!$I$24="",1,'APA Inputs'!$I$24))</f>
        <v>3332.72</v>
      </c>
      <c r="M9" s="409" t="n">
        <f aca="false">IF('APA Inputs'!$C$24="",0,(IF(AND(M$4&gt;='APA Inputs'!$C$24,M$4&lt;EDATE('APA Inputs'!$C$24,N('APA Inputs'!$D$24))),'APA Inputs'!$J$24,0)+IF(N('APA Inputs'!$H$24)&gt;0,IF(M$4=EDATE('APA Inputs'!$C$24,'APA Inputs'!$H$24-1),N('APA Inputs'!$G$24),0),0))*IF('APA Inputs'!$I$24="",1,'APA Inputs'!$I$24))</f>
        <v>3332.72</v>
      </c>
      <c r="N9" s="409" t="n">
        <f aca="false">IF('APA Inputs'!$C$24="",0,(IF(AND(N$4&gt;='APA Inputs'!$C$24,N$4&lt;EDATE('APA Inputs'!$C$24,N('APA Inputs'!$D$24))),'APA Inputs'!$J$24,0)+IF(N('APA Inputs'!$H$24)&gt;0,IF(N$4=EDATE('APA Inputs'!$C$24,'APA Inputs'!$H$24-1),N('APA Inputs'!$G$24),0),0))*IF('APA Inputs'!$I$24="",1,'APA Inputs'!$I$24))</f>
        <v>3332.72</v>
      </c>
      <c r="O9" s="409" t="n">
        <f aca="false">IF('APA Inputs'!$C$24="",0,(IF(AND(O$4&gt;='APA Inputs'!$C$24,O$4&lt;EDATE('APA Inputs'!$C$24,N('APA Inputs'!$D$24))),'APA Inputs'!$J$24,0)+IF(N('APA Inputs'!$H$24)&gt;0,IF(O$4=EDATE('APA Inputs'!$C$24,'APA Inputs'!$H$24-1),N('APA Inputs'!$G$24),0),0))*IF('APA Inputs'!$I$24="",1,'APA Inputs'!$I$24))</f>
        <v>3332.72</v>
      </c>
      <c r="P9" s="409" t="n">
        <f aca="false">IF('APA Inputs'!$C$24="",0,(IF(AND(P$4&gt;='APA Inputs'!$C$24,P$4&lt;EDATE('APA Inputs'!$C$24,N('APA Inputs'!$D$24))),'APA Inputs'!$J$24,0)+IF(N('APA Inputs'!$H$24)&gt;0,IF(P$4=EDATE('APA Inputs'!$C$24,'APA Inputs'!$H$24-1),N('APA Inputs'!$G$24),0),0))*IF('APA Inputs'!$I$24="",1,'APA Inputs'!$I$24))</f>
        <v>3332.72</v>
      </c>
      <c r="Q9" s="409" t="n">
        <f aca="false">IF('APA Inputs'!$C$24="",0,(IF(AND(Q$4&gt;='APA Inputs'!$C$24,Q$4&lt;EDATE('APA Inputs'!$C$24,N('APA Inputs'!$D$24))),'APA Inputs'!$J$24,0)+IF(N('APA Inputs'!$H$24)&gt;0,IF(Q$4=EDATE('APA Inputs'!$C$24,'APA Inputs'!$H$24-1),N('APA Inputs'!$G$24),0),0))*IF('APA Inputs'!$I$24="",1,'APA Inputs'!$I$24))</f>
        <v>3332.72</v>
      </c>
      <c r="R9" s="409" t="n">
        <f aca="false">IF('APA Inputs'!$C$24="",0,(IF(AND(R$4&gt;='APA Inputs'!$C$24,R$4&lt;EDATE('APA Inputs'!$C$24,N('APA Inputs'!$D$24))),'APA Inputs'!$J$24,0)+IF(N('APA Inputs'!$H$24)&gt;0,IF(R$4=EDATE('APA Inputs'!$C$24,'APA Inputs'!$H$24-1),N('APA Inputs'!$G$24),0),0))*IF('APA Inputs'!$I$24="",1,'APA Inputs'!$I$24))</f>
        <v>3332.72</v>
      </c>
      <c r="S9" s="409" t="n">
        <f aca="false">IF('APA Inputs'!$C$24="",0,(IF(AND(S$4&gt;='APA Inputs'!$C$24,S$4&lt;EDATE('APA Inputs'!$C$24,N('APA Inputs'!$D$24))),'APA Inputs'!$J$24,0)+IF(N('APA Inputs'!$H$24)&gt;0,IF(S$4=EDATE('APA Inputs'!$C$24,'APA Inputs'!$H$24-1),N('APA Inputs'!$G$24),0),0))*IF('APA Inputs'!$I$24="",1,'APA Inputs'!$I$24))</f>
        <v>3332.72</v>
      </c>
      <c r="T9" s="409" t="n">
        <f aca="false">IF('APA Inputs'!$C$24="",0,(IF(AND(T$4&gt;='APA Inputs'!$C$24,T$4&lt;EDATE('APA Inputs'!$C$24,N('APA Inputs'!$D$24))),'APA Inputs'!$J$24,0)+IF(N('APA Inputs'!$H$24)&gt;0,IF(T$4=EDATE('APA Inputs'!$C$24,'APA Inputs'!$H$24-1),N('APA Inputs'!$G$24),0),0))*IF('APA Inputs'!$I$24="",1,'APA Inputs'!$I$24))</f>
        <v>3332.72</v>
      </c>
      <c r="U9" s="409" t="n">
        <f aca="false">IF('APA Inputs'!$C$24="",0,(IF(AND(U$4&gt;='APA Inputs'!$C$24,U$4&lt;EDATE('APA Inputs'!$C$24,N('APA Inputs'!$D$24))),'APA Inputs'!$J$24,0)+IF(N('APA Inputs'!$H$24)&gt;0,IF(U$4=EDATE('APA Inputs'!$C$24,'APA Inputs'!$H$24-1),N('APA Inputs'!$G$24),0),0))*IF('APA Inputs'!$I$24="",1,'APA Inputs'!$I$24))</f>
        <v>3332.72</v>
      </c>
      <c r="V9" s="409" t="n">
        <f aca="false">IF('APA Inputs'!$C$24="",0,(IF(AND(V$4&gt;='APA Inputs'!$C$24,V$4&lt;EDATE('APA Inputs'!$C$24,N('APA Inputs'!$D$24))),'APA Inputs'!$J$24,0)+IF(N('APA Inputs'!$H$24)&gt;0,IF(V$4=EDATE('APA Inputs'!$C$24,'APA Inputs'!$H$24-1),N('APA Inputs'!$G$24),0),0))*IF('APA Inputs'!$I$24="",1,'APA Inputs'!$I$24))</f>
        <v>0</v>
      </c>
      <c r="W9" s="409" t="n">
        <f aca="false">IF('APA Inputs'!$C$24="",0,(IF(AND(W$4&gt;='APA Inputs'!$C$24,W$4&lt;EDATE('APA Inputs'!$C$24,N('APA Inputs'!$D$24))),'APA Inputs'!$J$24,0)+IF(N('APA Inputs'!$H$24)&gt;0,IF(W$4=EDATE('APA Inputs'!$C$24,'APA Inputs'!$H$24-1),N('APA Inputs'!$G$24),0),0))*IF('APA Inputs'!$I$24="",1,'APA Inputs'!$I$24))</f>
        <v>0</v>
      </c>
      <c r="X9" s="409" t="n">
        <f aca="false">IF('APA Inputs'!$C$24="",0,(IF(AND(X$4&gt;='APA Inputs'!$C$24,X$4&lt;EDATE('APA Inputs'!$C$24,N('APA Inputs'!$D$24))),'APA Inputs'!$J$24,0)+IF(N('APA Inputs'!$H$24)&gt;0,IF(X$4=EDATE('APA Inputs'!$C$24,'APA Inputs'!$H$24-1),N('APA Inputs'!$G$24),0),0))*IF('APA Inputs'!$I$24="",1,'APA Inputs'!$I$24))</f>
        <v>0</v>
      </c>
      <c r="Y9" s="409" t="n">
        <f aca="false">IF('APA Inputs'!$C$24="",0,(IF(AND(Y$4&gt;='APA Inputs'!$C$24,Y$4&lt;EDATE('APA Inputs'!$C$24,N('APA Inputs'!$D$24))),'APA Inputs'!$J$24,0)+IF(N('APA Inputs'!$H$24)&gt;0,IF(Y$4=EDATE('APA Inputs'!$C$24,'APA Inputs'!$H$24-1),N('APA Inputs'!$G$24),0),0))*IF('APA Inputs'!$I$24="",1,'APA Inputs'!$I$24))</f>
        <v>0</v>
      </c>
      <c r="Z9" s="409" t="n">
        <f aca="false">IF('APA Inputs'!$C$24="",0,(IF(AND(Z$4&gt;='APA Inputs'!$C$24,Z$4&lt;EDATE('APA Inputs'!$C$24,N('APA Inputs'!$D$24))),'APA Inputs'!$J$24,0)+IF(N('APA Inputs'!$H$24)&gt;0,IF(Z$4=EDATE('APA Inputs'!$C$24,'APA Inputs'!$H$24-1),N('APA Inputs'!$G$24),0),0))*IF('APA Inputs'!$I$24="",1,'APA Inputs'!$I$24))</f>
        <v>0</v>
      </c>
      <c r="AA9" s="409" t="n">
        <f aca="false">IF('APA Inputs'!$C$24="",0,(IF(AND(AA$4&gt;='APA Inputs'!$C$24,AA$4&lt;EDATE('APA Inputs'!$C$24,N('APA Inputs'!$D$24))),'APA Inputs'!$J$24,0)+IF(N('APA Inputs'!$H$24)&gt;0,IF(AA$4=EDATE('APA Inputs'!$C$24,'APA Inputs'!$H$24-1),N('APA Inputs'!$G$24),0),0))*IF('APA Inputs'!$I$24="",1,'APA Inputs'!$I$24))</f>
        <v>0</v>
      </c>
      <c r="AB9" s="409" t="n">
        <f aca="false">IF('APA Inputs'!$C$24="",0,(IF(AND(AB$4&gt;='APA Inputs'!$C$24,AB$4&lt;EDATE('APA Inputs'!$C$24,N('APA Inputs'!$D$24))),'APA Inputs'!$J$24,0)+IF(N('APA Inputs'!$H$24)&gt;0,IF(AB$4=EDATE('APA Inputs'!$C$24,'APA Inputs'!$H$24-1),N('APA Inputs'!$G$24),0),0))*IF('APA Inputs'!$I$24="",1,'APA Inputs'!$I$24))</f>
        <v>0</v>
      </c>
      <c r="AC9" s="409" t="n">
        <f aca="false">IF('APA Inputs'!$C$24="",0,(IF(AND(AC$4&gt;='APA Inputs'!$C$24,AC$4&lt;EDATE('APA Inputs'!$C$24,N('APA Inputs'!$D$24))),'APA Inputs'!$J$24,0)+IF(N('APA Inputs'!$H$24)&gt;0,IF(AC$4=EDATE('APA Inputs'!$C$24,'APA Inputs'!$H$24-1),N('APA Inputs'!$G$24),0),0))*IF('APA Inputs'!$I$24="",1,'APA Inputs'!$I$24))</f>
        <v>0</v>
      </c>
      <c r="AD9" s="409" t="n">
        <f aca="false">IF('APA Inputs'!$C$24="",0,(IF(AND(AD$4&gt;='APA Inputs'!$C$24,AD$4&lt;EDATE('APA Inputs'!$C$24,N('APA Inputs'!$D$24))),'APA Inputs'!$J$24,0)+IF(N('APA Inputs'!$H$24)&gt;0,IF(AD$4=EDATE('APA Inputs'!$C$24,'APA Inputs'!$H$24-1),N('APA Inputs'!$G$24),0),0))*IF('APA Inputs'!$I$24="",1,'APA Inputs'!$I$24))</f>
        <v>0</v>
      </c>
      <c r="AE9" s="409" t="n">
        <f aca="false">IF('APA Inputs'!$C$24="",0,(IF(AND(AE$4&gt;='APA Inputs'!$C$24,AE$4&lt;EDATE('APA Inputs'!$C$24,N('APA Inputs'!$D$24))),'APA Inputs'!$J$24,0)+IF(N('APA Inputs'!$H$24)&gt;0,IF(AE$4=EDATE('APA Inputs'!$C$24,'APA Inputs'!$H$24-1),N('APA Inputs'!$G$24),0),0))*IF('APA Inputs'!$I$24="",1,'APA Inputs'!$I$24))</f>
        <v>0</v>
      </c>
      <c r="AF9" s="409" t="n">
        <f aca="false">IF('APA Inputs'!$C$24="",0,(IF(AND(AF$4&gt;='APA Inputs'!$C$24,AF$4&lt;EDATE('APA Inputs'!$C$24,N('APA Inputs'!$D$24))),'APA Inputs'!$J$24,0)+IF(N('APA Inputs'!$H$24)&gt;0,IF(AF$4=EDATE('APA Inputs'!$C$24,'APA Inputs'!$H$24-1),N('APA Inputs'!$G$24),0),0))*IF('APA Inputs'!$I$24="",1,'APA Inputs'!$I$24))</f>
        <v>0</v>
      </c>
      <c r="AG9" s="409" t="n">
        <f aca="false">IF('APA Inputs'!$C$24="",0,(IF(AND(AG$4&gt;='APA Inputs'!$C$24,AG$4&lt;EDATE('APA Inputs'!$C$24,N('APA Inputs'!$D$24))),'APA Inputs'!$J$24,0)+IF(N('APA Inputs'!$H$24)&gt;0,IF(AG$4=EDATE('APA Inputs'!$C$24,'APA Inputs'!$H$24-1),N('APA Inputs'!$G$24),0),0))*IF('APA Inputs'!$I$24="",1,'APA Inputs'!$I$24))</f>
        <v>0</v>
      </c>
      <c r="AH9" s="409" t="n">
        <f aca="false">IF('APA Inputs'!$C$24="",0,(IF(AND(AH$4&gt;='APA Inputs'!$C$24,AH$4&lt;EDATE('APA Inputs'!$C$24,N('APA Inputs'!$D$24))),'APA Inputs'!$J$24,0)+IF(N('APA Inputs'!$H$24)&gt;0,IF(AH$4=EDATE('APA Inputs'!$C$24,'APA Inputs'!$H$24-1),N('APA Inputs'!$G$24),0),0))*IF('APA Inputs'!$I$24="",1,'APA Inputs'!$I$24))</f>
        <v>0</v>
      </c>
      <c r="AI9" s="409" t="n">
        <f aca="false">IF('APA Inputs'!$C$24="",0,(IF(AND(AI$4&gt;='APA Inputs'!$C$24,AI$4&lt;EDATE('APA Inputs'!$C$24,N('APA Inputs'!$D$24))),'APA Inputs'!$J$24,0)+IF(N('APA Inputs'!$H$24)&gt;0,IF(AI$4=EDATE('APA Inputs'!$C$24,'APA Inputs'!$H$24-1),N('APA Inputs'!$G$24),0),0))*IF('APA Inputs'!$I$24="",1,'APA Inputs'!$I$24))</f>
        <v>0</v>
      </c>
      <c r="AJ9" s="409" t="n">
        <f aca="false">IF('APA Inputs'!$C$24="",0,(IF(AND(AJ$4&gt;='APA Inputs'!$C$24,AJ$4&lt;EDATE('APA Inputs'!$C$24,N('APA Inputs'!$D$24))),'APA Inputs'!$J$24,0)+IF(N('APA Inputs'!$H$24)&gt;0,IF(AJ$4=EDATE('APA Inputs'!$C$24,'APA Inputs'!$H$24-1),N('APA Inputs'!$G$24),0),0))*IF('APA Inputs'!$I$24="",1,'APA Inputs'!$I$24))</f>
        <v>0</v>
      </c>
      <c r="AK9" s="409" t="n">
        <f aca="false">IF('APA Inputs'!$C$24="",0,(IF(AND(AK$4&gt;='APA Inputs'!$C$24,AK$4&lt;EDATE('APA Inputs'!$C$24,N('APA Inputs'!$D$24))),'APA Inputs'!$J$24,0)+IF(N('APA Inputs'!$H$24)&gt;0,IF(AK$4=EDATE('APA Inputs'!$C$24,'APA Inputs'!$H$24-1),N('APA Inputs'!$G$24),0),0))*IF('APA Inputs'!$I$24="",1,'APA Inputs'!$I$24))</f>
        <v>0</v>
      </c>
      <c r="AL9" s="409" t="n">
        <f aca="false">IF('APA Inputs'!$C$24="",0,(IF(AND(AL$4&gt;='APA Inputs'!$C$24,AL$4&lt;EDATE('APA Inputs'!$C$24,N('APA Inputs'!$D$24))),'APA Inputs'!$J$24,0)+IF(N('APA Inputs'!$H$24)&gt;0,IF(AL$4=EDATE('APA Inputs'!$C$24,'APA Inputs'!$H$24-1),N('APA Inputs'!$G$24),0),0))*IF('APA Inputs'!$I$24="",1,'APA Inputs'!$I$24))</f>
        <v>0</v>
      </c>
      <c r="AM9" s="409" t="n">
        <f aca="false">IF('APA Inputs'!$C$24="",0,(IF(AND(AM$4&gt;='APA Inputs'!$C$24,AM$4&lt;EDATE('APA Inputs'!$C$24,N('APA Inputs'!$D$24))),'APA Inputs'!$J$24,0)+IF(N('APA Inputs'!$H$24)&gt;0,IF(AM$4=EDATE('APA Inputs'!$C$24,'APA Inputs'!$H$24-1),N('APA Inputs'!$G$24),0),0))*IF('APA Inputs'!$I$24="",1,'APA Inputs'!$I$24))</f>
        <v>0</v>
      </c>
      <c r="AN9" s="409" t="n">
        <f aca="false">IF('APA Inputs'!$C$24="",0,(IF(AND(AN$4&gt;='APA Inputs'!$C$24,AN$4&lt;EDATE('APA Inputs'!$C$24,N('APA Inputs'!$D$24))),'APA Inputs'!$J$24,0)+IF(N('APA Inputs'!$H$24)&gt;0,IF(AN$4=EDATE('APA Inputs'!$C$24,'APA Inputs'!$H$24-1),N('APA Inputs'!$G$24),0),0))*IF('APA Inputs'!$I$24="",1,'APA Inputs'!$I$24))</f>
        <v>0</v>
      </c>
      <c r="AO9" s="409" t="n">
        <f aca="false">IF('APA Inputs'!$C$24="",0,(IF(AND(AO$4&gt;='APA Inputs'!$C$24,AO$4&lt;EDATE('APA Inputs'!$C$24,N('APA Inputs'!$D$24))),'APA Inputs'!$J$24,0)+IF(N('APA Inputs'!$H$24)&gt;0,IF(AO$4=EDATE('APA Inputs'!$C$24,'APA Inputs'!$H$24-1),N('APA Inputs'!$G$24),0),0))*IF('APA Inputs'!$I$24="",1,'APA Inputs'!$I$24))</f>
        <v>0</v>
      </c>
      <c r="AP9" s="409" t="n">
        <f aca="false">IF('APA Inputs'!$C$24="",0,(IF(AND(AP$4&gt;='APA Inputs'!$C$24,AP$4&lt;EDATE('APA Inputs'!$C$24,N('APA Inputs'!$D$24))),'APA Inputs'!$J$24,0)+IF(N('APA Inputs'!$H$24)&gt;0,IF(AP$4=EDATE('APA Inputs'!$C$24,'APA Inputs'!$H$24-1),N('APA Inputs'!$G$24),0),0))*IF('APA Inputs'!$I$24="",1,'APA Inputs'!$I$24))</f>
        <v>0</v>
      </c>
      <c r="AQ9" s="409" t="n">
        <f aca="false">IF('APA Inputs'!$C$24="",0,(IF(AND(AQ$4&gt;='APA Inputs'!$C$24,AQ$4&lt;EDATE('APA Inputs'!$C$24,N('APA Inputs'!$D$24))),'APA Inputs'!$J$24,0)+IF(N('APA Inputs'!$H$24)&gt;0,IF(AQ$4=EDATE('APA Inputs'!$C$24,'APA Inputs'!$H$24-1),N('APA Inputs'!$G$24),0),0))*IF('APA Inputs'!$I$24="",1,'APA Inputs'!$I$24))</f>
        <v>0</v>
      </c>
      <c r="AR9" s="409" t="n">
        <f aca="false">IF('APA Inputs'!$C$24="",0,(IF(AND(AR$4&gt;='APA Inputs'!$C$24,AR$4&lt;EDATE('APA Inputs'!$C$24,N('APA Inputs'!$D$24))),'APA Inputs'!$J$24,0)+IF(N('APA Inputs'!$H$24)&gt;0,IF(AR$4=EDATE('APA Inputs'!$C$24,'APA Inputs'!$H$24-1),N('APA Inputs'!$G$24),0),0))*IF('APA Inputs'!$I$24="",1,'APA Inputs'!$I$24))</f>
        <v>0</v>
      </c>
      <c r="AS9" s="409" t="n">
        <f aca="false">IF('APA Inputs'!$C$24="",0,(IF(AND(AS$4&gt;='APA Inputs'!$C$24,AS$4&lt;EDATE('APA Inputs'!$C$24,N('APA Inputs'!$D$24))),'APA Inputs'!$J$24,0)+IF(N('APA Inputs'!$H$24)&gt;0,IF(AS$4=EDATE('APA Inputs'!$C$24,'APA Inputs'!$H$24-1),N('APA Inputs'!$G$24),0),0))*IF('APA Inputs'!$I$24="",1,'APA Inputs'!$I$24))</f>
        <v>0</v>
      </c>
      <c r="AT9" s="409" t="n">
        <f aca="false">IF('APA Inputs'!$C$24="",0,(IF(AND(AT$4&gt;='APA Inputs'!$C$24,AT$4&lt;EDATE('APA Inputs'!$C$24,N('APA Inputs'!$D$24))),'APA Inputs'!$J$24,0)+IF(N('APA Inputs'!$H$24)&gt;0,IF(AT$4=EDATE('APA Inputs'!$C$24,'APA Inputs'!$H$24-1),N('APA Inputs'!$G$24),0),0))*IF('APA Inputs'!$I$24="",1,'APA Inputs'!$I$24))</f>
        <v>0</v>
      </c>
      <c r="AU9" s="409" t="n">
        <f aca="false">IF('APA Inputs'!$C$24="",0,(IF(AND(AU$4&gt;='APA Inputs'!$C$24,AU$4&lt;EDATE('APA Inputs'!$C$24,N('APA Inputs'!$D$24))),'APA Inputs'!$J$24,0)+IF(N('APA Inputs'!$H$24)&gt;0,IF(AU$4=EDATE('APA Inputs'!$C$24,'APA Inputs'!$H$24-1),N('APA Inputs'!$G$24),0),0))*IF('APA Inputs'!$I$24="",1,'APA Inputs'!$I$24))</f>
        <v>0</v>
      </c>
      <c r="AV9" s="409" t="n">
        <f aca="false">IF('APA Inputs'!$C$24="",0,(IF(AND(AV$4&gt;='APA Inputs'!$C$24,AV$4&lt;EDATE('APA Inputs'!$C$24,N('APA Inputs'!$D$24))),'APA Inputs'!$J$24,0)+IF(N('APA Inputs'!$H$24)&gt;0,IF(AV$4=EDATE('APA Inputs'!$C$24,'APA Inputs'!$H$24-1),N('APA Inputs'!$G$24),0),0))*IF('APA Inputs'!$I$24="",1,'APA Inputs'!$I$24))</f>
        <v>0</v>
      </c>
      <c r="AW9" s="409" t="n">
        <f aca="false">IF('APA Inputs'!$C$24="",0,(IF(AND(AW$4&gt;='APA Inputs'!$C$24,AW$4&lt;EDATE('APA Inputs'!$C$24,N('APA Inputs'!$D$24))),'APA Inputs'!$J$24,0)+IF(N('APA Inputs'!$H$24)&gt;0,IF(AW$4=EDATE('APA Inputs'!$C$24,'APA Inputs'!$H$24-1),N('APA Inputs'!$G$24),0),0))*IF('APA Inputs'!$I$24="",1,'APA Inputs'!$I$24))</f>
        <v>0</v>
      </c>
      <c r="AX9" s="409" t="n">
        <f aca="false">IF('APA Inputs'!$C$24="",0,(IF(AND(AX$4&gt;='APA Inputs'!$C$24,AX$4&lt;EDATE('APA Inputs'!$C$24,N('APA Inputs'!$D$24))),'APA Inputs'!$J$24,0)+IF(N('APA Inputs'!$H$24)&gt;0,IF(AX$4=EDATE('APA Inputs'!$C$24,'APA Inputs'!$H$24-1),N('APA Inputs'!$G$24),0),0))*IF('APA Inputs'!$I$24="",1,'APA Inputs'!$I$24))</f>
        <v>0</v>
      </c>
      <c r="AY9" s="409" t="n">
        <f aca="false">IF('APA Inputs'!$C$24="",0,(IF(AND(AY$4&gt;='APA Inputs'!$C$24,AY$4&lt;EDATE('APA Inputs'!$C$24,N('APA Inputs'!$D$24))),'APA Inputs'!$J$24,0)+IF(N('APA Inputs'!$H$24)&gt;0,IF(AY$4=EDATE('APA Inputs'!$C$24,'APA Inputs'!$H$24-1),N('APA Inputs'!$G$24),0),0))*IF('APA Inputs'!$I$24="",1,'APA Inputs'!$I$24))</f>
        <v>0</v>
      </c>
      <c r="AZ9" s="409" t="n">
        <f aca="false">IF('APA Inputs'!$C$24="",0,(IF(AND(AZ$4&gt;='APA Inputs'!$C$24,AZ$4&lt;EDATE('APA Inputs'!$C$24,N('APA Inputs'!$D$24))),'APA Inputs'!$J$24,0)+IF(N('APA Inputs'!$H$24)&gt;0,IF(AZ$4=EDATE('APA Inputs'!$C$24,'APA Inputs'!$H$24-1),N('APA Inputs'!$G$24),0),0))*IF('APA Inputs'!$I$24="",1,'APA Inputs'!$I$24))</f>
        <v>0</v>
      </c>
      <c r="BA9" s="409" t="n">
        <f aca="false">IF('APA Inputs'!$C$24="",0,(IF(AND(BA$4&gt;='APA Inputs'!$C$24,BA$4&lt;EDATE('APA Inputs'!$C$24,N('APA Inputs'!$D$24))),'APA Inputs'!$J$24,0)+IF(N('APA Inputs'!$H$24)&gt;0,IF(BA$4=EDATE('APA Inputs'!$C$24,'APA Inputs'!$H$24-1),N('APA Inputs'!$G$24),0),0))*IF('APA Inputs'!$I$24="",1,'APA Inputs'!$I$24))</f>
        <v>0</v>
      </c>
      <c r="BB9" s="409" t="n">
        <f aca="false">IF('APA Inputs'!$C$24="",0,(IF(AND(BB$4&gt;='APA Inputs'!$C$24,BB$4&lt;EDATE('APA Inputs'!$C$24,N('APA Inputs'!$D$24))),'APA Inputs'!$J$24,0)+IF(N('APA Inputs'!$H$24)&gt;0,IF(BB$4=EDATE('APA Inputs'!$C$24,'APA Inputs'!$H$24-1),N('APA Inputs'!$G$24),0),0))*IF('APA Inputs'!$I$24="",1,'APA Inputs'!$I$24))</f>
        <v>0</v>
      </c>
      <c r="BC9" s="409" t="n">
        <f aca="false">IF('APA Inputs'!$C$24="",0,(IF(AND(BC$4&gt;='APA Inputs'!$C$24,BC$4&lt;EDATE('APA Inputs'!$C$24,N('APA Inputs'!$D$24))),'APA Inputs'!$J$24,0)+IF(N('APA Inputs'!$H$24)&gt;0,IF(BC$4=EDATE('APA Inputs'!$C$24,'APA Inputs'!$H$24-1),N('APA Inputs'!$G$24),0),0))*IF('APA Inputs'!$I$24="",1,'APA Inputs'!$I$24))</f>
        <v>0</v>
      </c>
      <c r="BD9" s="409" t="n">
        <f aca="false">IF('APA Inputs'!$C$24="",0,(IF(AND(BD$4&gt;='APA Inputs'!$C$24,BD$4&lt;EDATE('APA Inputs'!$C$24,N('APA Inputs'!$D$24))),'APA Inputs'!$J$24,0)+IF(N('APA Inputs'!$H$24)&gt;0,IF(BD$4=EDATE('APA Inputs'!$C$24,'APA Inputs'!$H$24-1),N('APA Inputs'!$G$24),0),0))*IF('APA Inputs'!$I$24="",1,'APA Inputs'!$I$24))</f>
        <v>0</v>
      </c>
      <c r="BE9" s="409" t="n">
        <f aca="false">IF('APA Inputs'!$C$24="",0,(IF(AND(BE$4&gt;='APA Inputs'!$C$24,BE$4&lt;EDATE('APA Inputs'!$C$24,N('APA Inputs'!$D$24))),'APA Inputs'!$J$24,0)+IF(N('APA Inputs'!$H$24)&gt;0,IF(BE$4=EDATE('APA Inputs'!$C$24,'APA Inputs'!$H$24-1),N('APA Inputs'!$G$24),0),0))*IF('APA Inputs'!$I$24="",1,'APA Inputs'!$I$24))</f>
        <v>0</v>
      </c>
      <c r="BF9" s="409" t="n">
        <f aca="false">IF('APA Inputs'!$C$24="",0,(IF(AND(BF$4&gt;='APA Inputs'!$C$24,BF$4&lt;EDATE('APA Inputs'!$C$24,N('APA Inputs'!$D$24))),'APA Inputs'!$J$24,0)+IF(N('APA Inputs'!$H$24)&gt;0,IF(BF$4=EDATE('APA Inputs'!$C$24,'APA Inputs'!$H$24-1),N('APA Inputs'!$G$24),0),0))*IF('APA Inputs'!$I$24="",1,'APA Inputs'!$I$24))</f>
        <v>0</v>
      </c>
      <c r="BG9" s="409" t="n">
        <f aca="false">IF('APA Inputs'!$C$24="",0,(IF(AND(BG$4&gt;='APA Inputs'!$C$24,BG$4&lt;EDATE('APA Inputs'!$C$24,N('APA Inputs'!$D$24))),'APA Inputs'!$J$24,0)+IF(N('APA Inputs'!$H$24)&gt;0,IF(BG$4=EDATE('APA Inputs'!$C$24,'APA Inputs'!$H$24-1),N('APA Inputs'!$G$24),0),0))*IF('APA Inputs'!$I$24="",1,'APA Inputs'!$I$24))</f>
        <v>0</v>
      </c>
      <c r="BH9" s="409" t="n">
        <f aca="false">IF('APA Inputs'!$C$24="",0,(IF(AND(BH$4&gt;='APA Inputs'!$C$24,BH$4&lt;EDATE('APA Inputs'!$C$24,N('APA Inputs'!$D$24))),'APA Inputs'!$J$24,0)+IF(N('APA Inputs'!$H$24)&gt;0,IF(BH$4=EDATE('APA Inputs'!$C$24,'APA Inputs'!$H$24-1),N('APA Inputs'!$G$24),0),0))*IF('APA Inputs'!$I$24="",1,'APA Inputs'!$I$24))</f>
        <v>0</v>
      </c>
      <c r="BI9" s="409" t="n">
        <f aca="false">IF('APA Inputs'!$C$24="",0,(IF(AND(BI$4&gt;='APA Inputs'!$C$24,BI$4&lt;EDATE('APA Inputs'!$C$24,N('APA Inputs'!$D$24))),'APA Inputs'!$J$24,0)+IF(N('APA Inputs'!$H$24)&gt;0,IF(BI$4=EDATE('APA Inputs'!$C$24,'APA Inputs'!$H$24-1),N('APA Inputs'!$G$24),0),0))*IF('APA Inputs'!$I$24="",1,'APA Inputs'!$I$24))</f>
        <v>0</v>
      </c>
      <c r="BJ9" s="409" t="n">
        <f aca="false">IF('APA Inputs'!$C$24="",0,(IF(AND(BJ$4&gt;='APA Inputs'!$C$24,BJ$4&lt;EDATE('APA Inputs'!$C$24,N('APA Inputs'!$D$24))),'APA Inputs'!$J$24,0)+IF(N('APA Inputs'!$H$24)&gt;0,IF(BJ$4=EDATE('APA Inputs'!$C$24,'APA Inputs'!$H$24-1),N('APA Inputs'!$G$24),0),0))*IF('APA Inputs'!$I$24="",1,'APA Inputs'!$I$24))</f>
        <v>0</v>
      </c>
      <c r="BK9" s="409" t="n">
        <f aca="false">IF('APA Inputs'!$C$24="",0,(IF(AND(BK$4&gt;='APA Inputs'!$C$24,BK$4&lt;EDATE('APA Inputs'!$C$24,N('APA Inputs'!$D$24))),'APA Inputs'!$J$24,0)+IF(N('APA Inputs'!$H$24)&gt;0,IF(BK$4=EDATE('APA Inputs'!$C$24,'APA Inputs'!$H$24-1),N('APA Inputs'!$G$24),0),0))*IF('APA Inputs'!$I$24="",1,'APA Inputs'!$I$24))</f>
        <v>0</v>
      </c>
      <c r="BL9" s="409" t="n">
        <f aca="false">IF('APA Inputs'!$C$24="",0,(IF(AND(BL$4&gt;='APA Inputs'!$C$24,BL$4&lt;EDATE('APA Inputs'!$C$24,N('APA Inputs'!$D$24))),'APA Inputs'!$J$24,0)+IF(N('APA Inputs'!$H$24)&gt;0,IF(BL$4=EDATE('APA Inputs'!$C$24,'APA Inputs'!$H$24-1),N('APA Inputs'!$G$24),0),0))*IF('APA Inputs'!$I$24="",1,'APA Inputs'!$I$24))</f>
        <v>0</v>
      </c>
      <c r="BM9" s="409" t="n">
        <f aca="false">IF('APA Inputs'!$C$24="",0,(IF(AND(BM$4&gt;='APA Inputs'!$C$24,BM$4&lt;EDATE('APA Inputs'!$C$24,N('APA Inputs'!$D$24))),'APA Inputs'!$J$24,0)+IF(N('APA Inputs'!$H$24)&gt;0,IF(BM$4=EDATE('APA Inputs'!$C$24,'APA Inputs'!$H$24-1),N('APA Inputs'!$G$24),0),0))*IF('APA Inputs'!$I$24="",1,'APA Inputs'!$I$24))</f>
        <v>0</v>
      </c>
      <c r="BN9" s="409" t="n">
        <f aca="false">IF('APA Inputs'!$C$24="",0,(IF(AND(BN$4&gt;='APA Inputs'!$C$24,BN$4&lt;EDATE('APA Inputs'!$C$24,N('APA Inputs'!$D$24))),'APA Inputs'!$J$24,0)+IF(N('APA Inputs'!$H$24)&gt;0,IF(BN$4=EDATE('APA Inputs'!$C$24,'APA Inputs'!$H$24-1),N('APA Inputs'!$G$24),0),0))*IF('APA Inputs'!$I$24="",1,'APA Inputs'!$I$24))</f>
        <v>0</v>
      </c>
      <c r="BO9" s="409" t="n">
        <f aca="false">IF('APA Inputs'!$C$24="",0,(IF(AND(BO$4&gt;='APA Inputs'!$C$24,BO$4&lt;EDATE('APA Inputs'!$C$24,N('APA Inputs'!$D$24))),'APA Inputs'!$J$24,0)+IF(N('APA Inputs'!$H$24)&gt;0,IF(BO$4=EDATE('APA Inputs'!$C$24,'APA Inputs'!$H$24-1),N('APA Inputs'!$G$24),0),0))*IF('APA Inputs'!$I$24="",1,'APA Inputs'!$I$24))</f>
        <v>0</v>
      </c>
      <c r="BP9" s="409" t="n">
        <f aca="false">IF('APA Inputs'!$C$24="",0,(IF(AND(BP$4&gt;='APA Inputs'!$C$24,BP$4&lt;EDATE('APA Inputs'!$C$24,N('APA Inputs'!$D$24))),'APA Inputs'!$J$24,0)+IF(N('APA Inputs'!$H$24)&gt;0,IF(BP$4=EDATE('APA Inputs'!$C$24,'APA Inputs'!$H$24-1),N('APA Inputs'!$G$24),0),0))*IF('APA Inputs'!$I$24="",1,'APA Inputs'!$I$24))</f>
        <v>0</v>
      </c>
      <c r="BQ9" s="409" t="n">
        <f aca="false">IF('APA Inputs'!$C$24="",0,(IF(AND(BQ$4&gt;='APA Inputs'!$C$24,BQ$4&lt;EDATE('APA Inputs'!$C$24,N('APA Inputs'!$D$24))),'APA Inputs'!$J$24,0)+IF(N('APA Inputs'!$H$24)&gt;0,IF(BQ$4=EDATE('APA Inputs'!$C$24,'APA Inputs'!$H$24-1),N('APA Inputs'!$G$24),0),0))*IF('APA Inputs'!$I$24="",1,'APA Inputs'!$I$24))</f>
        <v>0</v>
      </c>
      <c r="BR9" s="409" t="n">
        <f aca="false">IF('APA Inputs'!$C$24="",0,(IF(AND(BR$4&gt;='APA Inputs'!$C$24,BR$4&lt;EDATE('APA Inputs'!$C$24,N('APA Inputs'!$D$24))),'APA Inputs'!$J$24,0)+IF(N('APA Inputs'!$H$24)&gt;0,IF(BR$4=EDATE('APA Inputs'!$C$24,'APA Inputs'!$H$24-1),N('APA Inputs'!$G$24),0),0))*IF('APA Inputs'!$I$24="",1,'APA Inputs'!$I$24))</f>
        <v>0</v>
      </c>
      <c r="BS9" s="409" t="n">
        <f aca="false">IF('APA Inputs'!$C$24="",0,(IF(AND(BS$4&gt;='APA Inputs'!$C$24,BS$4&lt;EDATE('APA Inputs'!$C$24,N('APA Inputs'!$D$24))),'APA Inputs'!$J$24,0)+IF(N('APA Inputs'!$H$24)&gt;0,IF(BS$4=EDATE('APA Inputs'!$C$24,'APA Inputs'!$H$24-1),N('APA Inputs'!$G$24),0),0))*IF('APA Inputs'!$I$24="",1,'APA Inputs'!$I$24))</f>
        <v>0</v>
      </c>
      <c r="BT9" s="409" t="n">
        <f aca="false">IF('APA Inputs'!$C$24="",0,(IF(AND(BT$4&gt;='APA Inputs'!$C$24,BT$4&lt;EDATE('APA Inputs'!$C$24,N('APA Inputs'!$D$24))),'APA Inputs'!$J$24,0)+IF(N('APA Inputs'!$H$24)&gt;0,IF(BT$4=EDATE('APA Inputs'!$C$24,'APA Inputs'!$H$24-1),N('APA Inputs'!$G$24),0),0))*IF('APA Inputs'!$I$24="",1,'APA Inputs'!$I$24))</f>
        <v>0</v>
      </c>
      <c r="BU9" s="409" t="n">
        <f aca="false">IF('APA Inputs'!$C$24="",0,(IF(AND(BU$4&gt;='APA Inputs'!$C$24,BU$4&lt;EDATE('APA Inputs'!$C$24,N('APA Inputs'!$D$24))),'APA Inputs'!$J$24,0)+IF(N('APA Inputs'!$H$24)&gt;0,IF(BU$4=EDATE('APA Inputs'!$C$24,'APA Inputs'!$H$24-1),N('APA Inputs'!$G$24),0),0))*IF('APA Inputs'!$I$24="",1,'APA Inputs'!$I$24))</f>
        <v>0</v>
      </c>
      <c r="BV9" s="409" t="n">
        <f aca="false">IF('APA Inputs'!$C$24="",0,(IF(AND(BV$4&gt;='APA Inputs'!$C$24,BV$4&lt;EDATE('APA Inputs'!$C$24,N('APA Inputs'!$D$24))),'APA Inputs'!$J$24,0)+IF(N('APA Inputs'!$H$24)&gt;0,IF(BV$4=EDATE('APA Inputs'!$C$24,'APA Inputs'!$H$24-1),N('APA Inputs'!$G$24),0),0))*IF('APA Inputs'!$I$24="",1,'APA Inputs'!$I$24))</f>
        <v>0</v>
      </c>
      <c r="BW9" s="409" t="n">
        <f aca="false">IF('APA Inputs'!$C$24="",0,(IF(AND(BW$4&gt;='APA Inputs'!$C$24,BW$4&lt;EDATE('APA Inputs'!$C$24,N('APA Inputs'!$D$24))),'APA Inputs'!$J$24,0)+IF(N('APA Inputs'!$H$24)&gt;0,IF(BW$4=EDATE('APA Inputs'!$C$24,'APA Inputs'!$H$24-1),N('APA Inputs'!$G$24),0),0))*IF('APA Inputs'!$I$24="",1,'APA Inputs'!$I$24))</f>
        <v>0</v>
      </c>
      <c r="BX9" s="409" t="n">
        <f aca="false">IF('APA Inputs'!$C$24="",0,(IF(AND(BX$4&gt;='APA Inputs'!$C$24,BX$4&lt;EDATE('APA Inputs'!$C$24,N('APA Inputs'!$D$24))),'APA Inputs'!$J$24,0)+IF(N('APA Inputs'!$H$24)&gt;0,IF(BX$4=EDATE('APA Inputs'!$C$24,'APA Inputs'!$H$24-1),N('APA Inputs'!$G$24),0),0))*IF('APA Inputs'!$I$24="",1,'APA Inputs'!$I$24))</f>
        <v>0</v>
      </c>
      <c r="BY9" s="409" t="n">
        <f aca="false">IF('APA Inputs'!$C$24="",0,(IF(AND(BY$4&gt;='APA Inputs'!$C$24,BY$4&lt;EDATE('APA Inputs'!$C$24,N('APA Inputs'!$D$24))),'APA Inputs'!$J$24,0)+IF(N('APA Inputs'!$H$24)&gt;0,IF(BY$4=EDATE('APA Inputs'!$C$24,'APA Inputs'!$H$24-1),N('APA Inputs'!$G$24),0),0))*IF('APA Inputs'!$I$24="",1,'APA Inputs'!$I$24))</f>
        <v>0</v>
      </c>
      <c r="BZ9" s="409" t="n">
        <f aca="false">IF('APA Inputs'!$C$24="",0,(IF(AND(BZ$4&gt;='APA Inputs'!$C$24,BZ$4&lt;EDATE('APA Inputs'!$C$24,N('APA Inputs'!$D$24))),'APA Inputs'!$J$24,0)+IF(N('APA Inputs'!$H$24)&gt;0,IF(BZ$4=EDATE('APA Inputs'!$C$24,'APA Inputs'!$H$24-1),N('APA Inputs'!$G$24),0),0))*IF('APA Inputs'!$I$24="",1,'APA Inputs'!$I$24))</f>
        <v>0</v>
      </c>
      <c r="CA9" s="409" t="n">
        <f aca="false">IF('APA Inputs'!$C$24="",0,(IF(AND(CA$4&gt;='APA Inputs'!$C$24,CA$4&lt;EDATE('APA Inputs'!$C$24,N('APA Inputs'!$D$24))),'APA Inputs'!$J$24,0)+IF(N('APA Inputs'!$H$24)&gt;0,IF(CA$4=EDATE('APA Inputs'!$C$24,'APA Inputs'!$H$24-1),N('APA Inputs'!$G$24),0),0))*IF('APA Inputs'!$I$24="",1,'APA Inputs'!$I$24))</f>
        <v>0</v>
      </c>
      <c r="CB9" s="409" t="n">
        <f aca="false">IF('APA Inputs'!$C$24="",0,(IF(AND(CB$4&gt;='APA Inputs'!$C$24,CB$4&lt;EDATE('APA Inputs'!$C$24,N('APA Inputs'!$D$24))),'APA Inputs'!$J$24,0)+IF(N('APA Inputs'!$H$24)&gt;0,IF(CB$4=EDATE('APA Inputs'!$C$24,'APA Inputs'!$H$24-1),N('APA Inputs'!$G$24),0),0))*IF('APA Inputs'!$I$24="",1,'APA Inputs'!$I$24))</f>
        <v>0</v>
      </c>
      <c r="CC9" s="409" t="n">
        <f aca="false">IF('APA Inputs'!$C$24="",0,(IF(AND(CC$4&gt;='APA Inputs'!$C$24,CC$4&lt;EDATE('APA Inputs'!$C$24,N('APA Inputs'!$D$24))),'APA Inputs'!$J$24,0)+IF(N('APA Inputs'!$H$24)&gt;0,IF(CC$4=EDATE('APA Inputs'!$C$24,'APA Inputs'!$H$24-1),N('APA Inputs'!$G$24),0),0))*IF('APA Inputs'!$I$24="",1,'APA Inputs'!$I$24))</f>
        <v>0</v>
      </c>
      <c r="CD9" s="409" t="n">
        <f aca="false">IF('APA Inputs'!$C$24="",0,(IF(AND(CD$4&gt;='APA Inputs'!$C$24,CD$4&lt;EDATE('APA Inputs'!$C$24,N('APA Inputs'!$D$24))),'APA Inputs'!$J$24,0)+IF(N('APA Inputs'!$H$24)&gt;0,IF(CD$4=EDATE('APA Inputs'!$C$24,'APA Inputs'!$H$24-1),N('APA Inputs'!$G$24),0),0))*IF('APA Inputs'!$I$24="",1,'APA Inputs'!$I$24))</f>
        <v>0</v>
      </c>
      <c r="CE9" s="409" t="n">
        <f aca="false">IF('APA Inputs'!$C$24="",0,(IF(AND(CE$4&gt;='APA Inputs'!$C$24,CE$4&lt;EDATE('APA Inputs'!$C$24,N('APA Inputs'!$D$24))),'APA Inputs'!$J$24,0)+IF(N('APA Inputs'!$H$24)&gt;0,IF(CE$4=EDATE('APA Inputs'!$C$24,'APA Inputs'!$H$24-1),N('APA Inputs'!$G$24),0),0))*IF('APA Inputs'!$I$24="",1,'APA Inputs'!$I$24))</f>
        <v>0</v>
      </c>
      <c r="CF9" s="409" t="n">
        <f aca="false">IF('APA Inputs'!$C$24="",0,(IF(AND(CF$4&gt;='APA Inputs'!$C$24,CF$4&lt;EDATE('APA Inputs'!$C$24,N('APA Inputs'!$D$24))),'APA Inputs'!$J$24,0)+IF(N('APA Inputs'!$H$24)&gt;0,IF(CF$4=EDATE('APA Inputs'!$C$24,'APA Inputs'!$H$24-1),N('APA Inputs'!$G$24),0),0))*IF('APA Inputs'!$I$24="",1,'APA Inputs'!$I$24))</f>
        <v>0</v>
      </c>
      <c r="CG9" s="409" t="n">
        <f aca="false">IF('APA Inputs'!$C$24="",0,(IF(AND(CG$4&gt;='APA Inputs'!$C$24,CG$4&lt;EDATE('APA Inputs'!$C$24,N('APA Inputs'!$D$24))),'APA Inputs'!$J$24,0)+IF(N('APA Inputs'!$H$24)&gt;0,IF(CG$4=EDATE('APA Inputs'!$C$24,'APA Inputs'!$H$24-1),N('APA Inputs'!$G$24),0),0))*IF('APA Inputs'!$I$24="",1,'APA Inputs'!$I$24))</f>
        <v>0</v>
      </c>
      <c r="CH9" s="409" t="n">
        <f aca="false">IF('APA Inputs'!$C$24="",0,(IF(AND(CH$4&gt;='APA Inputs'!$C$24,CH$4&lt;EDATE('APA Inputs'!$C$24,N('APA Inputs'!$D$24))),'APA Inputs'!$J$24,0)+IF(N('APA Inputs'!$H$24)&gt;0,IF(CH$4=EDATE('APA Inputs'!$C$24,'APA Inputs'!$H$24-1),N('APA Inputs'!$G$24),0),0))*IF('APA Inputs'!$I$24="",1,'APA Inputs'!$I$24))</f>
        <v>0</v>
      </c>
      <c r="CI9" s="409" t="n">
        <f aca="false">IF('APA Inputs'!$C$24="",0,(IF(AND(CI$4&gt;='APA Inputs'!$C$24,CI$4&lt;EDATE('APA Inputs'!$C$24,N('APA Inputs'!$D$24))),'APA Inputs'!$J$24,0)+IF(N('APA Inputs'!$H$24)&gt;0,IF(CI$4=EDATE('APA Inputs'!$C$24,'APA Inputs'!$H$24-1),N('APA Inputs'!$G$24),0),0))*IF('APA Inputs'!$I$24="",1,'APA Inputs'!$I$24))</f>
        <v>0</v>
      </c>
      <c r="CJ9" s="409" t="n">
        <f aca="false">IF('APA Inputs'!$C$24="",0,(IF(AND(CJ$4&gt;='APA Inputs'!$C$24,CJ$4&lt;EDATE('APA Inputs'!$C$24,N('APA Inputs'!$D$24))),'APA Inputs'!$J$24,0)+IF(N('APA Inputs'!$H$24)&gt;0,IF(CJ$4=EDATE('APA Inputs'!$C$24,'APA Inputs'!$H$24-1),N('APA Inputs'!$G$24),0),0))*IF('APA Inputs'!$I$24="",1,'APA Inputs'!$I$24))</f>
        <v>0</v>
      </c>
      <c r="CK9" s="409" t="n">
        <f aca="false">IF('APA Inputs'!$C$24="",0,(IF(AND(CK$4&gt;='APA Inputs'!$C$24,CK$4&lt;EDATE('APA Inputs'!$C$24,N('APA Inputs'!$D$24))),'APA Inputs'!$J$24,0)+IF(N('APA Inputs'!$H$24)&gt;0,IF(CK$4=EDATE('APA Inputs'!$C$24,'APA Inputs'!$H$24-1),N('APA Inputs'!$G$24),0),0))*IF('APA Inputs'!$I$24="",1,'APA Inputs'!$I$24))</f>
        <v>0</v>
      </c>
      <c r="CL9" s="409" t="n">
        <f aca="false">IF('APA Inputs'!$C$24="",0,(IF(AND(CL$4&gt;='APA Inputs'!$C$24,CL$4&lt;EDATE('APA Inputs'!$C$24,N('APA Inputs'!$D$24))),'APA Inputs'!$J$24,0)+IF(N('APA Inputs'!$H$24)&gt;0,IF(CL$4=EDATE('APA Inputs'!$C$24,'APA Inputs'!$H$24-1),N('APA Inputs'!$G$24),0),0))*IF('APA Inputs'!$I$24="",1,'APA Inputs'!$I$24))</f>
        <v>0</v>
      </c>
      <c r="CM9" s="409" t="n">
        <f aca="false">IF('APA Inputs'!$C$24="",0,(IF(AND(CM$4&gt;='APA Inputs'!$C$24,CM$4&lt;EDATE('APA Inputs'!$C$24,N('APA Inputs'!$D$24))),'APA Inputs'!$J$24,0)+IF(N('APA Inputs'!$H$24)&gt;0,IF(CM$4=EDATE('APA Inputs'!$C$24,'APA Inputs'!$H$24-1),N('APA Inputs'!$G$24),0),0))*IF('APA Inputs'!$I$24="",1,'APA Inputs'!$I$24))</f>
        <v>0</v>
      </c>
      <c r="CN9" s="409" t="n">
        <f aca="false">IF('APA Inputs'!$C$24="",0,(IF(AND(CN$4&gt;='APA Inputs'!$C$24,CN$4&lt;EDATE('APA Inputs'!$C$24,N('APA Inputs'!$D$24))),'APA Inputs'!$J$24,0)+IF(N('APA Inputs'!$H$24)&gt;0,IF(CN$4=EDATE('APA Inputs'!$C$24,'APA Inputs'!$H$24-1),N('APA Inputs'!$G$24),0),0))*IF('APA Inputs'!$I$24="",1,'APA Inputs'!$I$24))</f>
        <v>0</v>
      </c>
      <c r="CO9" s="409" t="n">
        <f aca="false">IF('APA Inputs'!$C$24="",0,(IF(AND(CO$4&gt;='APA Inputs'!$C$24,CO$4&lt;EDATE('APA Inputs'!$C$24,N('APA Inputs'!$D$24))),'APA Inputs'!$J$24,0)+IF(N('APA Inputs'!$H$24)&gt;0,IF(CO$4=EDATE('APA Inputs'!$C$24,'APA Inputs'!$H$24-1),N('APA Inputs'!$G$24),0),0))*IF('APA Inputs'!$I$24="",1,'APA Inputs'!$I$24))</f>
        <v>0</v>
      </c>
      <c r="CP9" s="409" t="n">
        <f aca="false">IF('APA Inputs'!$C$24="",0,(IF(AND(CP$4&gt;='APA Inputs'!$C$24,CP$4&lt;EDATE('APA Inputs'!$C$24,N('APA Inputs'!$D$24))),'APA Inputs'!$J$24,0)+IF(N('APA Inputs'!$H$24)&gt;0,IF(CP$4=EDATE('APA Inputs'!$C$24,'APA Inputs'!$H$24-1),N('APA Inputs'!$G$24),0),0))*IF('APA Inputs'!$I$24="",1,'APA Inputs'!$I$24))</f>
        <v>0</v>
      </c>
      <c r="CQ9" s="409" t="n">
        <f aca="false">IF('APA Inputs'!$C$24="",0,(IF(AND(CQ$4&gt;='APA Inputs'!$C$24,CQ$4&lt;EDATE('APA Inputs'!$C$24,N('APA Inputs'!$D$24))),'APA Inputs'!$J$24,0)+IF(N('APA Inputs'!$H$24)&gt;0,IF(CQ$4=EDATE('APA Inputs'!$C$24,'APA Inputs'!$H$24-1),N('APA Inputs'!$G$24),0),0))*IF('APA Inputs'!$I$24="",1,'APA Inputs'!$I$24))</f>
        <v>0</v>
      </c>
      <c r="CR9" s="409" t="n">
        <f aca="false">IF('APA Inputs'!$C$24="",0,(IF(AND(CR$4&gt;='APA Inputs'!$C$24,CR$4&lt;EDATE('APA Inputs'!$C$24,N('APA Inputs'!$D$24))),'APA Inputs'!$J$24,0)+IF(N('APA Inputs'!$H$24)&gt;0,IF(CR$4=EDATE('APA Inputs'!$C$24,'APA Inputs'!$H$24-1),N('APA Inputs'!$G$24),0),0))*IF('APA Inputs'!$I$24="",1,'APA Inputs'!$I$24))</f>
        <v>0</v>
      </c>
      <c r="CS9" s="409" t="n">
        <f aca="false">IF('APA Inputs'!$C$24="",0,(IF(AND(CS$4&gt;='APA Inputs'!$C$24,CS$4&lt;EDATE('APA Inputs'!$C$24,N('APA Inputs'!$D$24))),'APA Inputs'!$J$24,0)+IF(N('APA Inputs'!$H$24)&gt;0,IF(CS$4=EDATE('APA Inputs'!$C$24,'APA Inputs'!$H$24-1),N('APA Inputs'!$G$24),0),0))*IF('APA Inputs'!$I$24="",1,'APA Inputs'!$I$24))</f>
        <v>0</v>
      </c>
      <c r="CT9" s="409" t="n">
        <f aca="false">IF('APA Inputs'!$C$24="",0,(IF(AND(CT$4&gt;='APA Inputs'!$C$24,CT$4&lt;EDATE('APA Inputs'!$C$24,N('APA Inputs'!$D$24))),'APA Inputs'!$J$24,0)+IF(N('APA Inputs'!$H$24)&gt;0,IF(CT$4=EDATE('APA Inputs'!$C$24,'APA Inputs'!$H$24-1),N('APA Inputs'!$G$24),0),0))*IF('APA Inputs'!$I$24="",1,'APA Inputs'!$I$24))</f>
        <v>0</v>
      </c>
      <c r="CU9" s="409" t="n">
        <f aca="false">IF('APA Inputs'!$C$24="",0,(IF(AND(CU$4&gt;='APA Inputs'!$C$24,CU$4&lt;EDATE('APA Inputs'!$C$24,N('APA Inputs'!$D$24))),'APA Inputs'!$J$24,0)+IF(N('APA Inputs'!$H$24)&gt;0,IF(CU$4=EDATE('APA Inputs'!$C$24,'APA Inputs'!$H$24-1),N('APA Inputs'!$G$24),0),0))*IF('APA Inputs'!$I$24="",1,'APA Inputs'!$I$24))</f>
        <v>0</v>
      </c>
      <c r="CV9" s="409" t="n">
        <f aca="false">IF('APA Inputs'!$C$24="",0,(IF(AND(CV$4&gt;='APA Inputs'!$C$24,CV$4&lt;EDATE('APA Inputs'!$C$24,N('APA Inputs'!$D$24))),'APA Inputs'!$J$24,0)+IF(N('APA Inputs'!$H$24)&gt;0,IF(CV$4=EDATE('APA Inputs'!$C$24,'APA Inputs'!$H$24-1),N('APA Inputs'!$G$24),0),0))*IF('APA Inputs'!$I$24="",1,'APA Inputs'!$I$24))</f>
        <v>0</v>
      </c>
      <c r="CW9" s="409" t="n">
        <f aca="false">IF('APA Inputs'!$C$24="",0,(IF(AND(CW$4&gt;='APA Inputs'!$C$24,CW$4&lt;EDATE('APA Inputs'!$C$24,N('APA Inputs'!$D$24))),'APA Inputs'!$J$24,0)+IF(N('APA Inputs'!$H$24)&gt;0,IF(CW$4=EDATE('APA Inputs'!$C$24,'APA Inputs'!$H$24-1),N('APA Inputs'!$G$24),0),0))*IF('APA Inputs'!$I$24="",1,'APA Inputs'!$I$24))</f>
        <v>0</v>
      </c>
      <c r="CX9" s="409" t="n">
        <f aca="false">IF('APA Inputs'!$C$24="",0,(IF(AND(CX$4&gt;='APA Inputs'!$C$24,CX$4&lt;EDATE('APA Inputs'!$C$24,N('APA Inputs'!$D$24))),'APA Inputs'!$J$24,0)+IF(N('APA Inputs'!$H$24)&gt;0,IF(CX$4=EDATE('APA Inputs'!$C$24,'APA Inputs'!$H$24-1),N('APA Inputs'!$G$24),0),0))*IF('APA Inputs'!$I$24="",1,'APA Inputs'!$I$24))</f>
        <v>0</v>
      </c>
      <c r="CY9" s="409" t="n">
        <f aca="false">IF('APA Inputs'!$C$24="",0,(IF(AND(CY$4&gt;='APA Inputs'!$C$24,CY$4&lt;EDATE('APA Inputs'!$C$24,N('APA Inputs'!$D$24))),'APA Inputs'!$J$24,0)+IF(N('APA Inputs'!$H$24)&gt;0,IF(CY$4=EDATE('APA Inputs'!$C$24,'APA Inputs'!$H$24-1),N('APA Inputs'!$G$24),0),0))*IF('APA Inputs'!$I$24="",1,'APA Inputs'!$I$24))</f>
        <v>0</v>
      </c>
      <c r="CZ9" s="409" t="n">
        <f aca="false">IF('APA Inputs'!$C$24="",0,(IF(AND(CZ$4&gt;='APA Inputs'!$C$24,CZ$4&lt;EDATE('APA Inputs'!$C$24,N('APA Inputs'!$D$24))),'APA Inputs'!$J$24,0)+IF(N('APA Inputs'!$H$24)&gt;0,IF(CZ$4=EDATE('APA Inputs'!$C$24,'APA Inputs'!$H$24-1),N('APA Inputs'!$G$24),0),0))*IF('APA Inputs'!$I$24="",1,'APA Inputs'!$I$24))</f>
        <v>0</v>
      </c>
      <c r="DA9" s="409" t="n">
        <f aca="false">IF('APA Inputs'!$C$24="",0,(IF(AND(DA$4&gt;='APA Inputs'!$C$24,DA$4&lt;EDATE('APA Inputs'!$C$24,N('APA Inputs'!$D$24))),'APA Inputs'!$J$24,0)+IF(N('APA Inputs'!$H$24)&gt;0,IF(DA$4=EDATE('APA Inputs'!$C$24,'APA Inputs'!$H$24-1),N('APA Inputs'!$G$24),0),0))*IF('APA Inputs'!$I$24="",1,'APA Inputs'!$I$24))</f>
        <v>0</v>
      </c>
      <c r="DB9" s="409" t="n">
        <f aca="false">IF('APA Inputs'!$C$24="",0,(IF(AND(DB$4&gt;='APA Inputs'!$C$24,DB$4&lt;EDATE('APA Inputs'!$C$24,N('APA Inputs'!$D$24))),'APA Inputs'!$J$24,0)+IF(N('APA Inputs'!$H$24)&gt;0,IF(DB$4=EDATE('APA Inputs'!$C$24,'APA Inputs'!$H$24-1),N('APA Inputs'!$G$24),0),0))*IF('APA Inputs'!$I$24="",1,'APA Inputs'!$I$24))</f>
        <v>0</v>
      </c>
      <c r="DC9" s="409" t="n">
        <f aca="false">IF('APA Inputs'!$C$24="",0,(IF(AND(DC$4&gt;='APA Inputs'!$C$24,DC$4&lt;EDATE('APA Inputs'!$C$24,N('APA Inputs'!$D$24))),'APA Inputs'!$J$24,0)+IF(N('APA Inputs'!$H$24)&gt;0,IF(DC$4=EDATE('APA Inputs'!$C$24,'APA Inputs'!$H$24-1),N('APA Inputs'!$G$24),0),0))*IF('APA Inputs'!$I$24="",1,'APA Inputs'!$I$24))</f>
        <v>0</v>
      </c>
      <c r="DD9" s="409" t="n">
        <f aca="false">IF('APA Inputs'!$C$24="",0,(IF(AND(DD$4&gt;='APA Inputs'!$C$24,DD$4&lt;EDATE('APA Inputs'!$C$24,N('APA Inputs'!$D$24))),'APA Inputs'!$J$24,0)+IF(N('APA Inputs'!$H$24)&gt;0,IF(DD$4=EDATE('APA Inputs'!$C$24,'APA Inputs'!$H$24-1),N('APA Inputs'!$G$24),0),0))*IF('APA Inputs'!$I$24="",1,'APA Inputs'!$I$24))</f>
        <v>0</v>
      </c>
      <c r="DE9" s="40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09" t="n">
        <f aca="false">IF('APA Inputs'!$C$25="",0,(IF(AND(B$4&gt;='APA Inputs'!$C$25,B$4&lt;EDATE('APA Inputs'!$C$25,N('APA Inputs'!$D$25))),'APA Inputs'!$J$25,0)+IF(N('APA Inputs'!$H$25)&gt;0,IF(B$4=EDATE('APA Inputs'!$C$25,'APA Inputs'!$H$25-1),N('APA Inputs'!$G$25),0),0))*IF('APA Inputs'!$I$25="",1,'APA Inputs'!$I$25))</f>
        <v>0</v>
      </c>
      <c r="C10" s="409" t="n">
        <f aca="false">IF('APA Inputs'!$C$25="",0,(IF(AND(C$4&gt;='APA Inputs'!$C$25,C$4&lt;EDATE('APA Inputs'!$C$25,N('APA Inputs'!$D$25))),'APA Inputs'!$J$25,0)+IF(N('APA Inputs'!$H$25)&gt;0,IF(C$4=EDATE('APA Inputs'!$C$25,'APA Inputs'!$H$25-1),N('APA Inputs'!$G$25),0),0))*IF('APA Inputs'!$I$25="",1,'APA Inputs'!$I$25))</f>
        <v>0</v>
      </c>
      <c r="D10" s="409" t="n">
        <f aca="false">IF('APA Inputs'!$C$25="",0,(IF(AND(D$4&gt;='APA Inputs'!$C$25,D$4&lt;EDATE('APA Inputs'!$C$25,N('APA Inputs'!$D$25))),'APA Inputs'!$J$25,0)+IF(N('APA Inputs'!$H$25)&gt;0,IF(D$4=EDATE('APA Inputs'!$C$25,'APA Inputs'!$H$25-1),N('APA Inputs'!$G$25),0),0))*IF('APA Inputs'!$I$25="",1,'APA Inputs'!$I$25))</f>
        <v>0</v>
      </c>
      <c r="E10" s="409" t="n">
        <f aca="false">IF('APA Inputs'!$C$25="",0,(IF(AND(E$4&gt;='APA Inputs'!$C$25,E$4&lt;EDATE('APA Inputs'!$C$25,N('APA Inputs'!$D$25))),'APA Inputs'!$J$25,0)+IF(N('APA Inputs'!$H$25)&gt;0,IF(E$4=EDATE('APA Inputs'!$C$25,'APA Inputs'!$H$25-1),N('APA Inputs'!$G$25),0),0))*IF('APA Inputs'!$I$25="",1,'APA Inputs'!$I$25))</f>
        <v>0</v>
      </c>
      <c r="F10" s="409" t="n">
        <f aca="false">IF('APA Inputs'!$C$25="",0,(IF(AND(F$4&gt;='APA Inputs'!$C$25,F$4&lt;EDATE('APA Inputs'!$C$25,N('APA Inputs'!$D$25))),'APA Inputs'!$J$25,0)+IF(N('APA Inputs'!$H$25)&gt;0,IF(F$4=EDATE('APA Inputs'!$C$25,'APA Inputs'!$H$25-1),N('APA Inputs'!$G$25),0),0))*IF('APA Inputs'!$I$25="",1,'APA Inputs'!$I$25))</f>
        <v>0</v>
      </c>
      <c r="G10" s="409" t="n">
        <f aca="false">IF('APA Inputs'!$C$25="",0,(IF(AND(G$4&gt;='APA Inputs'!$C$25,G$4&lt;EDATE('APA Inputs'!$C$25,N('APA Inputs'!$D$25))),'APA Inputs'!$J$25,0)+IF(N('APA Inputs'!$H$25)&gt;0,IF(G$4=EDATE('APA Inputs'!$C$25,'APA Inputs'!$H$25-1),N('APA Inputs'!$G$25),0),0))*IF('APA Inputs'!$I$25="",1,'APA Inputs'!$I$25))</f>
        <v>0</v>
      </c>
      <c r="H10" s="409" t="n">
        <f aca="false">IF('APA Inputs'!$C$25="",0,(IF(AND(H$4&gt;='APA Inputs'!$C$25,H$4&lt;EDATE('APA Inputs'!$C$25,N('APA Inputs'!$D$25))),'APA Inputs'!$J$25,0)+IF(N('APA Inputs'!$H$25)&gt;0,IF(H$4=EDATE('APA Inputs'!$C$25,'APA Inputs'!$H$25-1),N('APA Inputs'!$G$25),0),0))*IF('APA Inputs'!$I$25="",1,'APA Inputs'!$I$25))</f>
        <v>0</v>
      </c>
      <c r="I10" s="409" t="n">
        <f aca="false">IF('APA Inputs'!$C$25="",0,(IF(AND(I$4&gt;='APA Inputs'!$C$25,I$4&lt;EDATE('APA Inputs'!$C$25,N('APA Inputs'!$D$25))),'APA Inputs'!$J$25,0)+IF(N('APA Inputs'!$H$25)&gt;0,IF(I$4=EDATE('APA Inputs'!$C$25,'APA Inputs'!$H$25-1),N('APA Inputs'!$G$25),0),0))*IF('APA Inputs'!$I$25="",1,'APA Inputs'!$I$25))</f>
        <v>0</v>
      </c>
      <c r="J10" s="409" t="n">
        <f aca="false">IF('APA Inputs'!$C$25="",0,(IF(AND(J$4&gt;='APA Inputs'!$C$25,J$4&lt;EDATE('APA Inputs'!$C$25,N('APA Inputs'!$D$25))),'APA Inputs'!$J$25,0)+IF(N('APA Inputs'!$H$25)&gt;0,IF(J$4=EDATE('APA Inputs'!$C$25,'APA Inputs'!$H$25-1),N('APA Inputs'!$G$25),0),0))*IF('APA Inputs'!$I$25="",1,'APA Inputs'!$I$25))</f>
        <v>0</v>
      </c>
      <c r="K10" s="409" t="n">
        <f aca="false">IF('APA Inputs'!$C$25="",0,(IF(AND(K$4&gt;='APA Inputs'!$C$25,K$4&lt;EDATE('APA Inputs'!$C$25,N('APA Inputs'!$D$25))),'APA Inputs'!$J$25,0)+IF(N('APA Inputs'!$H$25)&gt;0,IF(K$4=EDATE('APA Inputs'!$C$25,'APA Inputs'!$H$25-1),N('APA Inputs'!$G$25),0),0))*IF('APA Inputs'!$I$25="",1,'APA Inputs'!$I$25))</f>
        <v>0</v>
      </c>
      <c r="L10" s="409" t="n">
        <f aca="false">IF('APA Inputs'!$C$25="",0,(IF(AND(L$4&gt;='APA Inputs'!$C$25,L$4&lt;EDATE('APA Inputs'!$C$25,N('APA Inputs'!$D$25))),'APA Inputs'!$J$25,0)+IF(N('APA Inputs'!$H$25)&gt;0,IF(L$4=EDATE('APA Inputs'!$C$25,'APA Inputs'!$H$25-1),N('APA Inputs'!$G$25),0),0))*IF('APA Inputs'!$I$25="",1,'APA Inputs'!$I$25))</f>
        <v>0</v>
      </c>
      <c r="M10" s="409" t="n">
        <f aca="false">IF('APA Inputs'!$C$25="",0,(IF(AND(M$4&gt;='APA Inputs'!$C$25,M$4&lt;EDATE('APA Inputs'!$C$25,N('APA Inputs'!$D$25))),'APA Inputs'!$J$25,0)+IF(N('APA Inputs'!$H$25)&gt;0,IF(M$4=EDATE('APA Inputs'!$C$25,'APA Inputs'!$H$25-1),N('APA Inputs'!$G$25),0),0))*IF('APA Inputs'!$I$25="",1,'APA Inputs'!$I$25))</f>
        <v>9750</v>
      </c>
      <c r="N10" s="409" t="n">
        <f aca="false">IF('APA Inputs'!$C$25="",0,(IF(AND(N$4&gt;='APA Inputs'!$C$25,N$4&lt;EDATE('APA Inputs'!$C$25,N('APA Inputs'!$D$25))),'APA Inputs'!$J$25,0)+IF(N('APA Inputs'!$H$25)&gt;0,IF(N$4=EDATE('APA Inputs'!$C$25,'APA Inputs'!$H$25-1),N('APA Inputs'!$G$25),0),0))*IF('APA Inputs'!$I$25="",1,'APA Inputs'!$I$25))</f>
        <v>9750</v>
      </c>
      <c r="O10" s="409" t="n">
        <f aca="false">IF('APA Inputs'!$C$25="",0,(IF(AND(O$4&gt;='APA Inputs'!$C$25,O$4&lt;EDATE('APA Inputs'!$C$25,N('APA Inputs'!$D$25))),'APA Inputs'!$J$25,0)+IF(N('APA Inputs'!$H$25)&gt;0,IF(O$4=EDATE('APA Inputs'!$C$25,'APA Inputs'!$H$25-1),N('APA Inputs'!$G$25),0),0))*IF('APA Inputs'!$I$25="",1,'APA Inputs'!$I$25))</f>
        <v>0</v>
      </c>
      <c r="P10" s="409" t="n">
        <f aca="false">IF('APA Inputs'!$C$25="",0,(IF(AND(P$4&gt;='APA Inputs'!$C$25,P$4&lt;EDATE('APA Inputs'!$C$25,N('APA Inputs'!$D$25))),'APA Inputs'!$J$25,0)+IF(N('APA Inputs'!$H$25)&gt;0,IF(P$4=EDATE('APA Inputs'!$C$25,'APA Inputs'!$H$25-1),N('APA Inputs'!$G$25),0),0))*IF('APA Inputs'!$I$25="",1,'APA Inputs'!$I$25))</f>
        <v>0</v>
      </c>
      <c r="Q10" s="409" t="n">
        <f aca="false">IF('APA Inputs'!$C$25="",0,(IF(AND(Q$4&gt;='APA Inputs'!$C$25,Q$4&lt;EDATE('APA Inputs'!$C$25,N('APA Inputs'!$D$25))),'APA Inputs'!$J$25,0)+IF(N('APA Inputs'!$H$25)&gt;0,IF(Q$4=EDATE('APA Inputs'!$C$25,'APA Inputs'!$H$25-1),N('APA Inputs'!$G$25),0),0))*IF('APA Inputs'!$I$25="",1,'APA Inputs'!$I$25))</f>
        <v>0</v>
      </c>
      <c r="R10" s="409" t="n">
        <f aca="false">IF('APA Inputs'!$C$25="",0,(IF(AND(R$4&gt;='APA Inputs'!$C$25,R$4&lt;EDATE('APA Inputs'!$C$25,N('APA Inputs'!$D$25))),'APA Inputs'!$J$25,0)+IF(N('APA Inputs'!$H$25)&gt;0,IF(R$4=EDATE('APA Inputs'!$C$25,'APA Inputs'!$H$25-1),N('APA Inputs'!$G$25),0),0))*IF('APA Inputs'!$I$25="",1,'APA Inputs'!$I$25))</f>
        <v>0</v>
      </c>
      <c r="S10" s="409" t="n">
        <f aca="false">IF('APA Inputs'!$C$25="",0,(IF(AND(S$4&gt;='APA Inputs'!$C$25,S$4&lt;EDATE('APA Inputs'!$C$25,N('APA Inputs'!$D$25))),'APA Inputs'!$J$25,0)+IF(N('APA Inputs'!$H$25)&gt;0,IF(S$4=EDATE('APA Inputs'!$C$25,'APA Inputs'!$H$25-1),N('APA Inputs'!$G$25),0),0))*IF('APA Inputs'!$I$25="",1,'APA Inputs'!$I$25))</f>
        <v>0</v>
      </c>
      <c r="T10" s="409" t="n">
        <f aca="false">IF('APA Inputs'!$C$25="",0,(IF(AND(T$4&gt;='APA Inputs'!$C$25,T$4&lt;EDATE('APA Inputs'!$C$25,N('APA Inputs'!$D$25))),'APA Inputs'!$J$25,0)+IF(N('APA Inputs'!$H$25)&gt;0,IF(T$4=EDATE('APA Inputs'!$C$25,'APA Inputs'!$H$25-1),N('APA Inputs'!$G$25),0),0))*IF('APA Inputs'!$I$25="",1,'APA Inputs'!$I$25))</f>
        <v>0</v>
      </c>
      <c r="U10" s="409" t="n">
        <f aca="false">IF('APA Inputs'!$C$25="",0,(IF(AND(U$4&gt;='APA Inputs'!$C$25,U$4&lt;EDATE('APA Inputs'!$C$25,N('APA Inputs'!$D$25))),'APA Inputs'!$J$25,0)+IF(N('APA Inputs'!$H$25)&gt;0,IF(U$4=EDATE('APA Inputs'!$C$25,'APA Inputs'!$H$25-1),N('APA Inputs'!$G$25),0),0))*IF('APA Inputs'!$I$25="",1,'APA Inputs'!$I$25))</f>
        <v>0</v>
      </c>
      <c r="V10" s="409" t="n">
        <f aca="false">IF('APA Inputs'!$C$25="",0,(IF(AND(V$4&gt;='APA Inputs'!$C$25,V$4&lt;EDATE('APA Inputs'!$C$25,N('APA Inputs'!$D$25))),'APA Inputs'!$J$25,0)+IF(N('APA Inputs'!$H$25)&gt;0,IF(V$4=EDATE('APA Inputs'!$C$25,'APA Inputs'!$H$25-1),N('APA Inputs'!$G$25),0),0))*IF('APA Inputs'!$I$25="",1,'APA Inputs'!$I$25))</f>
        <v>0</v>
      </c>
      <c r="W10" s="409" t="n">
        <f aca="false">IF('APA Inputs'!$C$25="",0,(IF(AND(W$4&gt;='APA Inputs'!$C$25,W$4&lt;EDATE('APA Inputs'!$C$25,N('APA Inputs'!$D$25))),'APA Inputs'!$J$25,0)+IF(N('APA Inputs'!$H$25)&gt;0,IF(W$4=EDATE('APA Inputs'!$C$25,'APA Inputs'!$H$25-1),N('APA Inputs'!$G$25),0),0))*IF('APA Inputs'!$I$25="",1,'APA Inputs'!$I$25))</f>
        <v>0</v>
      </c>
      <c r="X10" s="409" t="n">
        <f aca="false">IF('APA Inputs'!$C$25="",0,(IF(AND(X$4&gt;='APA Inputs'!$C$25,X$4&lt;EDATE('APA Inputs'!$C$25,N('APA Inputs'!$D$25))),'APA Inputs'!$J$25,0)+IF(N('APA Inputs'!$H$25)&gt;0,IF(X$4=EDATE('APA Inputs'!$C$25,'APA Inputs'!$H$25-1),N('APA Inputs'!$G$25),0),0))*IF('APA Inputs'!$I$25="",1,'APA Inputs'!$I$25))</f>
        <v>0</v>
      </c>
      <c r="Y10" s="409" t="n">
        <f aca="false">IF('APA Inputs'!$C$25="",0,(IF(AND(Y$4&gt;='APA Inputs'!$C$25,Y$4&lt;EDATE('APA Inputs'!$C$25,N('APA Inputs'!$D$25))),'APA Inputs'!$J$25,0)+IF(N('APA Inputs'!$H$25)&gt;0,IF(Y$4=EDATE('APA Inputs'!$C$25,'APA Inputs'!$H$25-1),N('APA Inputs'!$G$25),0),0))*IF('APA Inputs'!$I$25="",1,'APA Inputs'!$I$25))</f>
        <v>0</v>
      </c>
      <c r="Z10" s="409" t="n">
        <f aca="false">IF('APA Inputs'!$C$25="",0,(IF(AND(Z$4&gt;='APA Inputs'!$C$25,Z$4&lt;EDATE('APA Inputs'!$C$25,N('APA Inputs'!$D$25))),'APA Inputs'!$J$25,0)+IF(N('APA Inputs'!$H$25)&gt;0,IF(Z$4=EDATE('APA Inputs'!$C$25,'APA Inputs'!$H$25-1),N('APA Inputs'!$G$25),0),0))*IF('APA Inputs'!$I$25="",1,'APA Inputs'!$I$25))</f>
        <v>0</v>
      </c>
      <c r="AA10" s="409" t="n">
        <f aca="false">IF('APA Inputs'!$C$25="",0,(IF(AND(AA$4&gt;='APA Inputs'!$C$25,AA$4&lt;EDATE('APA Inputs'!$C$25,N('APA Inputs'!$D$25))),'APA Inputs'!$J$25,0)+IF(N('APA Inputs'!$H$25)&gt;0,IF(AA$4=EDATE('APA Inputs'!$C$25,'APA Inputs'!$H$25-1),N('APA Inputs'!$G$25),0),0))*IF('APA Inputs'!$I$25="",1,'APA Inputs'!$I$25))</f>
        <v>0</v>
      </c>
      <c r="AB10" s="409" t="n">
        <f aca="false">IF('APA Inputs'!$C$25="",0,(IF(AND(AB$4&gt;='APA Inputs'!$C$25,AB$4&lt;EDATE('APA Inputs'!$C$25,N('APA Inputs'!$D$25))),'APA Inputs'!$J$25,0)+IF(N('APA Inputs'!$H$25)&gt;0,IF(AB$4=EDATE('APA Inputs'!$C$25,'APA Inputs'!$H$25-1),N('APA Inputs'!$G$25),0),0))*IF('APA Inputs'!$I$25="",1,'APA Inputs'!$I$25))</f>
        <v>0</v>
      </c>
      <c r="AC10" s="409" t="n">
        <f aca="false">IF('APA Inputs'!$C$25="",0,(IF(AND(AC$4&gt;='APA Inputs'!$C$25,AC$4&lt;EDATE('APA Inputs'!$C$25,N('APA Inputs'!$D$25))),'APA Inputs'!$J$25,0)+IF(N('APA Inputs'!$H$25)&gt;0,IF(AC$4=EDATE('APA Inputs'!$C$25,'APA Inputs'!$H$25-1),N('APA Inputs'!$G$25),0),0))*IF('APA Inputs'!$I$25="",1,'APA Inputs'!$I$25))</f>
        <v>0</v>
      </c>
      <c r="AD10" s="409" t="n">
        <f aca="false">IF('APA Inputs'!$C$25="",0,(IF(AND(AD$4&gt;='APA Inputs'!$C$25,AD$4&lt;EDATE('APA Inputs'!$C$25,N('APA Inputs'!$D$25))),'APA Inputs'!$J$25,0)+IF(N('APA Inputs'!$H$25)&gt;0,IF(AD$4=EDATE('APA Inputs'!$C$25,'APA Inputs'!$H$25-1),N('APA Inputs'!$G$25),0),0))*IF('APA Inputs'!$I$25="",1,'APA Inputs'!$I$25))</f>
        <v>0</v>
      </c>
      <c r="AE10" s="409" t="n">
        <f aca="false">IF('APA Inputs'!$C$25="",0,(IF(AND(AE$4&gt;='APA Inputs'!$C$25,AE$4&lt;EDATE('APA Inputs'!$C$25,N('APA Inputs'!$D$25))),'APA Inputs'!$J$25,0)+IF(N('APA Inputs'!$H$25)&gt;0,IF(AE$4=EDATE('APA Inputs'!$C$25,'APA Inputs'!$H$25-1),N('APA Inputs'!$G$25),0),0))*IF('APA Inputs'!$I$25="",1,'APA Inputs'!$I$25))</f>
        <v>0</v>
      </c>
      <c r="AF10" s="409" t="n">
        <f aca="false">IF('APA Inputs'!$C$25="",0,(IF(AND(AF$4&gt;='APA Inputs'!$C$25,AF$4&lt;EDATE('APA Inputs'!$C$25,N('APA Inputs'!$D$25))),'APA Inputs'!$J$25,0)+IF(N('APA Inputs'!$H$25)&gt;0,IF(AF$4=EDATE('APA Inputs'!$C$25,'APA Inputs'!$H$25-1),N('APA Inputs'!$G$25),0),0))*IF('APA Inputs'!$I$25="",1,'APA Inputs'!$I$25))</f>
        <v>0</v>
      </c>
      <c r="AG10" s="409" t="n">
        <f aca="false">IF('APA Inputs'!$C$25="",0,(IF(AND(AG$4&gt;='APA Inputs'!$C$25,AG$4&lt;EDATE('APA Inputs'!$C$25,N('APA Inputs'!$D$25))),'APA Inputs'!$J$25,0)+IF(N('APA Inputs'!$H$25)&gt;0,IF(AG$4=EDATE('APA Inputs'!$C$25,'APA Inputs'!$H$25-1),N('APA Inputs'!$G$25),0),0))*IF('APA Inputs'!$I$25="",1,'APA Inputs'!$I$25))</f>
        <v>0</v>
      </c>
      <c r="AH10" s="409" t="n">
        <f aca="false">IF('APA Inputs'!$C$25="",0,(IF(AND(AH$4&gt;='APA Inputs'!$C$25,AH$4&lt;EDATE('APA Inputs'!$C$25,N('APA Inputs'!$D$25))),'APA Inputs'!$J$25,0)+IF(N('APA Inputs'!$H$25)&gt;0,IF(AH$4=EDATE('APA Inputs'!$C$25,'APA Inputs'!$H$25-1),N('APA Inputs'!$G$25),0),0))*IF('APA Inputs'!$I$25="",1,'APA Inputs'!$I$25))</f>
        <v>0</v>
      </c>
      <c r="AI10" s="409" t="n">
        <f aca="false">IF('APA Inputs'!$C$25="",0,(IF(AND(AI$4&gt;='APA Inputs'!$C$25,AI$4&lt;EDATE('APA Inputs'!$C$25,N('APA Inputs'!$D$25))),'APA Inputs'!$J$25,0)+IF(N('APA Inputs'!$H$25)&gt;0,IF(AI$4=EDATE('APA Inputs'!$C$25,'APA Inputs'!$H$25-1),N('APA Inputs'!$G$25),0),0))*IF('APA Inputs'!$I$25="",1,'APA Inputs'!$I$25))</f>
        <v>0</v>
      </c>
      <c r="AJ10" s="409" t="n">
        <f aca="false">IF('APA Inputs'!$C$25="",0,(IF(AND(AJ$4&gt;='APA Inputs'!$C$25,AJ$4&lt;EDATE('APA Inputs'!$C$25,N('APA Inputs'!$D$25))),'APA Inputs'!$J$25,0)+IF(N('APA Inputs'!$H$25)&gt;0,IF(AJ$4=EDATE('APA Inputs'!$C$25,'APA Inputs'!$H$25-1),N('APA Inputs'!$G$25),0),0))*IF('APA Inputs'!$I$25="",1,'APA Inputs'!$I$25))</f>
        <v>0</v>
      </c>
      <c r="AK10" s="409" t="n">
        <f aca="false">IF('APA Inputs'!$C$25="",0,(IF(AND(AK$4&gt;='APA Inputs'!$C$25,AK$4&lt;EDATE('APA Inputs'!$C$25,N('APA Inputs'!$D$25))),'APA Inputs'!$J$25,0)+IF(N('APA Inputs'!$H$25)&gt;0,IF(AK$4=EDATE('APA Inputs'!$C$25,'APA Inputs'!$H$25-1),N('APA Inputs'!$G$25),0),0))*IF('APA Inputs'!$I$25="",1,'APA Inputs'!$I$25))</f>
        <v>0</v>
      </c>
      <c r="AL10" s="409" t="n">
        <f aca="false">IF('APA Inputs'!$C$25="",0,(IF(AND(AL$4&gt;='APA Inputs'!$C$25,AL$4&lt;EDATE('APA Inputs'!$C$25,N('APA Inputs'!$D$25))),'APA Inputs'!$J$25,0)+IF(N('APA Inputs'!$H$25)&gt;0,IF(AL$4=EDATE('APA Inputs'!$C$25,'APA Inputs'!$H$25-1),N('APA Inputs'!$G$25),0),0))*IF('APA Inputs'!$I$25="",1,'APA Inputs'!$I$25))</f>
        <v>0</v>
      </c>
      <c r="AM10" s="409" t="n">
        <f aca="false">IF('APA Inputs'!$C$25="",0,(IF(AND(AM$4&gt;='APA Inputs'!$C$25,AM$4&lt;EDATE('APA Inputs'!$C$25,N('APA Inputs'!$D$25))),'APA Inputs'!$J$25,0)+IF(N('APA Inputs'!$H$25)&gt;0,IF(AM$4=EDATE('APA Inputs'!$C$25,'APA Inputs'!$H$25-1),N('APA Inputs'!$G$25),0),0))*IF('APA Inputs'!$I$25="",1,'APA Inputs'!$I$25))</f>
        <v>0</v>
      </c>
      <c r="AN10" s="409" t="n">
        <f aca="false">IF('APA Inputs'!$C$25="",0,(IF(AND(AN$4&gt;='APA Inputs'!$C$25,AN$4&lt;EDATE('APA Inputs'!$C$25,N('APA Inputs'!$D$25))),'APA Inputs'!$J$25,0)+IF(N('APA Inputs'!$H$25)&gt;0,IF(AN$4=EDATE('APA Inputs'!$C$25,'APA Inputs'!$H$25-1),N('APA Inputs'!$G$25),0),0))*IF('APA Inputs'!$I$25="",1,'APA Inputs'!$I$25))</f>
        <v>0</v>
      </c>
      <c r="AO10" s="409" t="n">
        <f aca="false">IF('APA Inputs'!$C$25="",0,(IF(AND(AO$4&gt;='APA Inputs'!$C$25,AO$4&lt;EDATE('APA Inputs'!$C$25,N('APA Inputs'!$D$25))),'APA Inputs'!$J$25,0)+IF(N('APA Inputs'!$H$25)&gt;0,IF(AO$4=EDATE('APA Inputs'!$C$25,'APA Inputs'!$H$25-1),N('APA Inputs'!$G$25),0),0))*IF('APA Inputs'!$I$25="",1,'APA Inputs'!$I$25))</f>
        <v>0</v>
      </c>
      <c r="AP10" s="409" t="n">
        <f aca="false">IF('APA Inputs'!$C$25="",0,(IF(AND(AP$4&gt;='APA Inputs'!$C$25,AP$4&lt;EDATE('APA Inputs'!$C$25,N('APA Inputs'!$D$25))),'APA Inputs'!$J$25,0)+IF(N('APA Inputs'!$H$25)&gt;0,IF(AP$4=EDATE('APA Inputs'!$C$25,'APA Inputs'!$H$25-1),N('APA Inputs'!$G$25),0),0))*IF('APA Inputs'!$I$25="",1,'APA Inputs'!$I$25))</f>
        <v>0</v>
      </c>
      <c r="AQ10" s="409" t="n">
        <f aca="false">IF('APA Inputs'!$C$25="",0,(IF(AND(AQ$4&gt;='APA Inputs'!$C$25,AQ$4&lt;EDATE('APA Inputs'!$C$25,N('APA Inputs'!$D$25))),'APA Inputs'!$J$25,0)+IF(N('APA Inputs'!$H$25)&gt;0,IF(AQ$4=EDATE('APA Inputs'!$C$25,'APA Inputs'!$H$25-1),N('APA Inputs'!$G$25),0),0))*IF('APA Inputs'!$I$25="",1,'APA Inputs'!$I$25))</f>
        <v>0</v>
      </c>
      <c r="AR10" s="409" t="n">
        <f aca="false">IF('APA Inputs'!$C$25="",0,(IF(AND(AR$4&gt;='APA Inputs'!$C$25,AR$4&lt;EDATE('APA Inputs'!$C$25,N('APA Inputs'!$D$25))),'APA Inputs'!$J$25,0)+IF(N('APA Inputs'!$H$25)&gt;0,IF(AR$4=EDATE('APA Inputs'!$C$25,'APA Inputs'!$H$25-1),N('APA Inputs'!$G$25),0),0))*IF('APA Inputs'!$I$25="",1,'APA Inputs'!$I$25))</f>
        <v>0</v>
      </c>
      <c r="AS10" s="409" t="n">
        <f aca="false">IF('APA Inputs'!$C$25="",0,(IF(AND(AS$4&gt;='APA Inputs'!$C$25,AS$4&lt;EDATE('APA Inputs'!$C$25,N('APA Inputs'!$D$25))),'APA Inputs'!$J$25,0)+IF(N('APA Inputs'!$H$25)&gt;0,IF(AS$4=EDATE('APA Inputs'!$C$25,'APA Inputs'!$H$25-1),N('APA Inputs'!$G$25),0),0))*IF('APA Inputs'!$I$25="",1,'APA Inputs'!$I$25))</f>
        <v>0</v>
      </c>
      <c r="AT10" s="409" t="n">
        <f aca="false">IF('APA Inputs'!$C$25="",0,(IF(AND(AT$4&gt;='APA Inputs'!$C$25,AT$4&lt;EDATE('APA Inputs'!$C$25,N('APA Inputs'!$D$25))),'APA Inputs'!$J$25,0)+IF(N('APA Inputs'!$H$25)&gt;0,IF(AT$4=EDATE('APA Inputs'!$C$25,'APA Inputs'!$H$25-1),N('APA Inputs'!$G$25),0),0))*IF('APA Inputs'!$I$25="",1,'APA Inputs'!$I$25))</f>
        <v>0</v>
      </c>
      <c r="AU10" s="409" t="n">
        <f aca="false">IF('APA Inputs'!$C$25="",0,(IF(AND(AU$4&gt;='APA Inputs'!$C$25,AU$4&lt;EDATE('APA Inputs'!$C$25,N('APA Inputs'!$D$25))),'APA Inputs'!$J$25,0)+IF(N('APA Inputs'!$H$25)&gt;0,IF(AU$4=EDATE('APA Inputs'!$C$25,'APA Inputs'!$H$25-1),N('APA Inputs'!$G$25),0),0))*IF('APA Inputs'!$I$25="",1,'APA Inputs'!$I$25))</f>
        <v>0</v>
      </c>
      <c r="AV10" s="409" t="n">
        <f aca="false">IF('APA Inputs'!$C$25="",0,(IF(AND(AV$4&gt;='APA Inputs'!$C$25,AV$4&lt;EDATE('APA Inputs'!$C$25,N('APA Inputs'!$D$25))),'APA Inputs'!$J$25,0)+IF(N('APA Inputs'!$H$25)&gt;0,IF(AV$4=EDATE('APA Inputs'!$C$25,'APA Inputs'!$H$25-1),N('APA Inputs'!$G$25),0),0))*IF('APA Inputs'!$I$25="",1,'APA Inputs'!$I$25))</f>
        <v>0</v>
      </c>
      <c r="AW10" s="409" t="n">
        <f aca="false">IF('APA Inputs'!$C$25="",0,(IF(AND(AW$4&gt;='APA Inputs'!$C$25,AW$4&lt;EDATE('APA Inputs'!$C$25,N('APA Inputs'!$D$25))),'APA Inputs'!$J$25,0)+IF(N('APA Inputs'!$H$25)&gt;0,IF(AW$4=EDATE('APA Inputs'!$C$25,'APA Inputs'!$H$25-1),N('APA Inputs'!$G$25),0),0))*IF('APA Inputs'!$I$25="",1,'APA Inputs'!$I$25))</f>
        <v>0</v>
      </c>
      <c r="AX10" s="409" t="n">
        <f aca="false">IF('APA Inputs'!$C$25="",0,(IF(AND(AX$4&gt;='APA Inputs'!$C$25,AX$4&lt;EDATE('APA Inputs'!$C$25,N('APA Inputs'!$D$25))),'APA Inputs'!$J$25,0)+IF(N('APA Inputs'!$H$25)&gt;0,IF(AX$4=EDATE('APA Inputs'!$C$25,'APA Inputs'!$H$25-1),N('APA Inputs'!$G$25),0),0))*IF('APA Inputs'!$I$25="",1,'APA Inputs'!$I$25))</f>
        <v>0</v>
      </c>
      <c r="AY10" s="409" t="n">
        <f aca="false">IF('APA Inputs'!$C$25="",0,(IF(AND(AY$4&gt;='APA Inputs'!$C$25,AY$4&lt;EDATE('APA Inputs'!$C$25,N('APA Inputs'!$D$25))),'APA Inputs'!$J$25,0)+IF(N('APA Inputs'!$H$25)&gt;0,IF(AY$4=EDATE('APA Inputs'!$C$25,'APA Inputs'!$H$25-1),N('APA Inputs'!$G$25),0),0))*IF('APA Inputs'!$I$25="",1,'APA Inputs'!$I$25))</f>
        <v>0</v>
      </c>
      <c r="AZ10" s="409" t="n">
        <f aca="false">IF('APA Inputs'!$C$25="",0,(IF(AND(AZ$4&gt;='APA Inputs'!$C$25,AZ$4&lt;EDATE('APA Inputs'!$C$25,N('APA Inputs'!$D$25))),'APA Inputs'!$J$25,0)+IF(N('APA Inputs'!$H$25)&gt;0,IF(AZ$4=EDATE('APA Inputs'!$C$25,'APA Inputs'!$H$25-1),N('APA Inputs'!$G$25),0),0))*IF('APA Inputs'!$I$25="",1,'APA Inputs'!$I$25))</f>
        <v>0</v>
      </c>
      <c r="BA10" s="409" t="n">
        <f aca="false">IF('APA Inputs'!$C$25="",0,(IF(AND(BA$4&gt;='APA Inputs'!$C$25,BA$4&lt;EDATE('APA Inputs'!$C$25,N('APA Inputs'!$D$25))),'APA Inputs'!$J$25,0)+IF(N('APA Inputs'!$H$25)&gt;0,IF(BA$4=EDATE('APA Inputs'!$C$25,'APA Inputs'!$H$25-1),N('APA Inputs'!$G$25),0),0))*IF('APA Inputs'!$I$25="",1,'APA Inputs'!$I$25))</f>
        <v>0</v>
      </c>
      <c r="BB10" s="409" t="n">
        <f aca="false">IF('APA Inputs'!$C$25="",0,(IF(AND(BB$4&gt;='APA Inputs'!$C$25,BB$4&lt;EDATE('APA Inputs'!$C$25,N('APA Inputs'!$D$25))),'APA Inputs'!$J$25,0)+IF(N('APA Inputs'!$H$25)&gt;0,IF(BB$4=EDATE('APA Inputs'!$C$25,'APA Inputs'!$H$25-1),N('APA Inputs'!$G$25),0),0))*IF('APA Inputs'!$I$25="",1,'APA Inputs'!$I$25))</f>
        <v>0</v>
      </c>
      <c r="BC10" s="409" t="n">
        <f aca="false">IF('APA Inputs'!$C$25="",0,(IF(AND(BC$4&gt;='APA Inputs'!$C$25,BC$4&lt;EDATE('APA Inputs'!$C$25,N('APA Inputs'!$D$25))),'APA Inputs'!$J$25,0)+IF(N('APA Inputs'!$H$25)&gt;0,IF(BC$4=EDATE('APA Inputs'!$C$25,'APA Inputs'!$H$25-1),N('APA Inputs'!$G$25),0),0))*IF('APA Inputs'!$I$25="",1,'APA Inputs'!$I$25))</f>
        <v>0</v>
      </c>
      <c r="BD10" s="409" t="n">
        <f aca="false">IF('APA Inputs'!$C$25="",0,(IF(AND(BD$4&gt;='APA Inputs'!$C$25,BD$4&lt;EDATE('APA Inputs'!$C$25,N('APA Inputs'!$D$25))),'APA Inputs'!$J$25,0)+IF(N('APA Inputs'!$H$25)&gt;0,IF(BD$4=EDATE('APA Inputs'!$C$25,'APA Inputs'!$H$25-1),N('APA Inputs'!$G$25),0),0))*IF('APA Inputs'!$I$25="",1,'APA Inputs'!$I$25))</f>
        <v>0</v>
      </c>
      <c r="BE10" s="409" t="n">
        <f aca="false">IF('APA Inputs'!$C$25="",0,(IF(AND(BE$4&gt;='APA Inputs'!$C$25,BE$4&lt;EDATE('APA Inputs'!$C$25,N('APA Inputs'!$D$25))),'APA Inputs'!$J$25,0)+IF(N('APA Inputs'!$H$25)&gt;0,IF(BE$4=EDATE('APA Inputs'!$C$25,'APA Inputs'!$H$25-1),N('APA Inputs'!$G$25),0),0))*IF('APA Inputs'!$I$25="",1,'APA Inputs'!$I$25))</f>
        <v>0</v>
      </c>
      <c r="BF10" s="409" t="n">
        <f aca="false">IF('APA Inputs'!$C$25="",0,(IF(AND(BF$4&gt;='APA Inputs'!$C$25,BF$4&lt;EDATE('APA Inputs'!$C$25,N('APA Inputs'!$D$25))),'APA Inputs'!$J$25,0)+IF(N('APA Inputs'!$H$25)&gt;0,IF(BF$4=EDATE('APA Inputs'!$C$25,'APA Inputs'!$H$25-1),N('APA Inputs'!$G$25),0),0))*IF('APA Inputs'!$I$25="",1,'APA Inputs'!$I$25))</f>
        <v>0</v>
      </c>
      <c r="BG10" s="409" t="n">
        <f aca="false">IF('APA Inputs'!$C$25="",0,(IF(AND(BG$4&gt;='APA Inputs'!$C$25,BG$4&lt;EDATE('APA Inputs'!$C$25,N('APA Inputs'!$D$25))),'APA Inputs'!$J$25,0)+IF(N('APA Inputs'!$H$25)&gt;0,IF(BG$4=EDATE('APA Inputs'!$C$25,'APA Inputs'!$H$25-1),N('APA Inputs'!$G$25),0),0))*IF('APA Inputs'!$I$25="",1,'APA Inputs'!$I$25))</f>
        <v>0</v>
      </c>
      <c r="BH10" s="409" t="n">
        <f aca="false">IF('APA Inputs'!$C$25="",0,(IF(AND(BH$4&gt;='APA Inputs'!$C$25,BH$4&lt;EDATE('APA Inputs'!$C$25,N('APA Inputs'!$D$25))),'APA Inputs'!$J$25,0)+IF(N('APA Inputs'!$H$25)&gt;0,IF(BH$4=EDATE('APA Inputs'!$C$25,'APA Inputs'!$H$25-1),N('APA Inputs'!$G$25),0),0))*IF('APA Inputs'!$I$25="",1,'APA Inputs'!$I$25))</f>
        <v>0</v>
      </c>
      <c r="BI10" s="409" t="n">
        <f aca="false">IF('APA Inputs'!$C$25="",0,(IF(AND(BI$4&gt;='APA Inputs'!$C$25,BI$4&lt;EDATE('APA Inputs'!$C$25,N('APA Inputs'!$D$25))),'APA Inputs'!$J$25,0)+IF(N('APA Inputs'!$H$25)&gt;0,IF(BI$4=EDATE('APA Inputs'!$C$25,'APA Inputs'!$H$25-1),N('APA Inputs'!$G$25),0),0))*IF('APA Inputs'!$I$25="",1,'APA Inputs'!$I$25))</f>
        <v>0</v>
      </c>
      <c r="BJ10" s="409" t="n">
        <f aca="false">IF('APA Inputs'!$C$25="",0,(IF(AND(BJ$4&gt;='APA Inputs'!$C$25,BJ$4&lt;EDATE('APA Inputs'!$C$25,N('APA Inputs'!$D$25))),'APA Inputs'!$J$25,0)+IF(N('APA Inputs'!$H$25)&gt;0,IF(BJ$4=EDATE('APA Inputs'!$C$25,'APA Inputs'!$H$25-1),N('APA Inputs'!$G$25),0),0))*IF('APA Inputs'!$I$25="",1,'APA Inputs'!$I$25))</f>
        <v>0</v>
      </c>
      <c r="BK10" s="409" t="n">
        <f aca="false">IF('APA Inputs'!$C$25="",0,(IF(AND(BK$4&gt;='APA Inputs'!$C$25,BK$4&lt;EDATE('APA Inputs'!$C$25,N('APA Inputs'!$D$25))),'APA Inputs'!$J$25,0)+IF(N('APA Inputs'!$H$25)&gt;0,IF(BK$4=EDATE('APA Inputs'!$C$25,'APA Inputs'!$H$25-1),N('APA Inputs'!$G$25),0),0))*IF('APA Inputs'!$I$25="",1,'APA Inputs'!$I$25))</f>
        <v>0</v>
      </c>
      <c r="BL10" s="409" t="n">
        <f aca="false">IF('APA Inputs'!$C$25="",0,(IF(AND(BL$4&gt;='APA Inputs'!$C$25,BL$4&lt;EDATE('APA Inputs'!$C$25,N('APA Inputs'!$D$25))),'APA Inputs'!$J$25,0)+IF(N('APA Inputs'!$H$25)&gt;0,IF(BL$4=EDATE('APA Inputs'!$C$25,'APA Inputs'!$H$25-1),N('APA Inputs'!$G$25),0),0))*IF('APA Inputs'!$I$25="",1,'APA Inputs'!$I$25))</f>
        <v>0</v>
      </c>
      <c r="BM10" s="409" t="n">
        <f aca="false">IF('APA Inputs'!$C$25="",0,(IF(AND(BM$4&gt;='APA Inputs'!$C$25,BM$4&lt;EDATE('APA Inputs'!$C$25,N('APA Inputs'!$D$25))),'APA Inputs'!$J$25,0)+IF(N('APA Inputs'!$H$25)&gt;0,IF(BM$4=EDATE('APA Inputs'!$C$25,'APA Inputs'!$H$25-1),N('APA Inputs'!$G$25),0),0))*IF('APA Inputs'!$I$25="",1,'APA Inputs'!$I$25))</f>
        <v>0</v>
      </c>
      <c r="BN10" s="409" t="n">
        <f aca="false">IF('APA Inputs'!$C$25="",0,(IF(AND(BN$4&gt;='APA Inputs'!$C$25,BN$4&lt;EDATE('APA Inputs'!$C$25,N('APA Inputs'!$D$25))),'APA Inputs'!$J$25,0)+IF(N('APA Inputs'!$H$25)&gt;0,IF(BN$4=EDATE('APA Inputs'!$C$25,'APA Inputs'!$H$25-1),N('APA Inputs'!$G$25),0),0))*IF('APA Inputs'!$I$25="",1,'APA Inputs'!$I$25))</f>
        <v>0</v>
      </c>
      <c r="BO10" s="409" t="n">
        <f aca="false">IF('APA Inputs'!$C$25="",0,(IF(AND(BO$4&gt;='APA Inputs'!$C$25,BO$4&lt;EDATE('APA Inputs'!$C$25,N('APA Inputs'!$D$25))),'APA Inputs'!$J$25,0)+IF(N('APA Inputs'!$H$25)&gt;0,IF(BO$4=EDATE('APA Inputs'!$C$25,'APA Inputs'!$H$25-1),N('APA Inputs'!$G$25),0),0))*IF('APA Inputs'!$I$25="",1,'APA Inputs'!$I$25))</f>
        <v>0</v>
      </c>
      <c r="BP10" s="409" t="n">
        <f aca="false">IF('APA Inputs'!$C$25="",0,(IF(AND(BP$4&gt;='APA Inputs'!$C$25,BP$4&lt;EDATE('APA Inputs'!$C$25,N('APA Inputs'!$D$25))),'APA Inputs'!$J$25,0)+IF(N('APA Inputs'!$H$25)&gt;0,IF(BP$4=EDATE('APA Inputs'!$C$25,'APA Inputs'!$H$25-1),N('APA Inputs'!$G$25),0),0))*IF('APA Inputs'!$I$25="",1,'APA Inputs'!$I$25))</f>
        <v>0</v>
      </c>
      <c r="BQ10" s="409" t="n">
        <f aca="false">IF('APA Inputs'!$C$25="",0,(IF(AND(BQ$4&gt;='APA Inputs'!$C$25,BQ$4&lt;EDATE('APA Inputs'!$C$25,N('APA Inputs'!$D$25))),'APA Inputs'!$J$25,0)+IF(N('APA Inputs'!$H$25)&gt;0,IF(BQ$4=EDATE('APA Inputs'!$C$25,'APA Inputs'!$H$25-1),N('APA Inputs'!$G$25),0),0))*IF('APA Inputs'!$I$25="",1,'APA Inputs'!$I$25))</f>
        <v>0</v>
      </c>
      <c r="BR10" s="409" t="n">
        <f aca="false">IF('APA Inputs'!$C$25="",0,(IF(AND(BR$4&gt;='APA Inputs'!$C$25,BR$4&lt;EDATE('APA Inputs'!$C$25,N('APA Inputs'!$D$25))),'APA Inputs'!$J$25,0)+IF(N('APA Inputs'!$H$25)&gt;0,IF(BR$4=EDATE('APA Inputs'!$C$25,'APA Inputs'!$H$25-1),N('APA Inputs'!$G$25),0),0))*IF('APA Inputs'!$I$25="",1,'APA Inputs'!$I$25))</f>
        <v>0</v>
      </c>
      <c r="BS10" s="409" t="n">
        <f aca="false">IF('APA Inputs'!$C$25="",0,(IF(AND(BS$4&gt;='APA Inputs'!$C$25,BS$4&lt;EDATE('APA Inputs'!$C$25,N('APA Inputs'!$D$25))),'APA Inputs'!$J$25,0)+IF(N('APA Inputs'!$H$25)&gt;0,IF(BS$4=EDATE('APA Inputs'!$C$25,'APA Inputs'!$H$25-1),N('APA Inputs'!$G$25),0),0))*IF('APA Inputs'!$I$25="",1,'APA Inputs'!$I$25))</f>
        <v>0</v>
      </c>
      <c r="BT10" s="409" t="n">
        <f aca="false">IF('APA Inputs'!$C$25="",0,(IF(AND(BT$4&gt;='APA Inputs'!$C$25,BT$4&lt;EDATE('APA Inputs'!$C$25,N('APA Inputs'!$D$25))),'APA Inputs'!$J$25,0)+IF(N('APA Inputs'!$H$25)&gt;0,IF(BT$4=EDATE('APA Inputs'!$C$25,'APA Inputs'!$H$25-1),N('APA Inputs'!$G$25),0),0))*IF('APA Inputs'!$I$25="",1,'APA Inputs'!$I$25))</f>
        <v>0</v>
      </c>
      <c r="BU10" s="409" t="n">
        <f aca="false">IF('APA Inputs'!$C$25="",0,(IF(AND(BU$4&gt;='APA Inputs'!$C$25,BU$4&lt;EDATE('APA Inputs'!$C$25,N('APA Inputs'!$D$25))),'APA Inputs'!$J$25,0)+IF(N('APA Inputs'!$H$25)&gt;0,IF(BU$4=EDATE('APA Inputs'!$C$25,'APA Inputs'!$H$25-1),N('APA Inputs'!$G$25),0),0))*IF('APA Inputs'!$I$25="",1,'APA Inputs'!$I$25))</f>
        <v>0</v>
      </c>
      <c r="BV10" s="409" t="n">
        <f aca="false">IF('APA Inputs'!$C$25="",0,(IF(AND(BV$4&gt;='APA Inputs'!$C$25,BV$4&lt;EDATE('APA Inputs'!$C$25,N('APA Inputs'!$D$25))),'APA Inputs'!$J$25,0)+IF(N('APA Inputs'!$H$25)&gt;0,IF(BV$4=EDATE('APA Inputs'!$C$25,'APA Inputs'!$H$25-1),N('APA Inputs'!$G$25),0),0))*IF('APA Inputs'!$I$25="",1,'APA Inputs'!$I$25))</f>
        <v>0</v>
      </c>
      <c r="BW10" s="409" t="n">
        <f aca="false">IF('APA Inputs'!$C$25="",0,(IF(AND(BW$4&gt;='APA Inputs'!$C$25,BW$4&lt;EDATE('APA Inputs'!$C$25,N('APA Inputs'!$D$25))),'APA Inputs'!$J$25,0)+IF(N('APA Inputs'!$H$25)&gt;0,IF(BW$4=EDATE('APA Inputs'!$C$25,'APA Inputs'!$H$25-1),N('APA Inputs'!$G$25),0),0))*IF('APA Inputs'!$I$25="",1,'APA Inputs'!$I$25))</f>
        <v>0</v>
      </c>
      <c r="BX10" s="409" t="n">
        <f aca="false">IF('APA Inputs'!$C$25="",0,(IF(AND(BX$4&gt;='APA Inputs'!$C$25,BX$4&lt;EDATE('APA Inputs'!$C$25,N('APA Inputs'!$D$25))),'APA Inputs'!$J$25,0)+IF(N('APA Inputs'!$H$25)&gt;0,IF(BX$4=EDATE('APA Inputs'!$C$25,'APA Inputs'!$H$25-1),N('APA Inputs'!$G$25),0),0))*IF('APA Inputs'!$I$25="",1,'APA Inputs'!$I$25))</f>
        <v>0</v>
      </c>
      <c r="BY10" s="409" t="n">
        <f aca="false">IF('APA Inputs'!$C$25="",0,(IF(AND(BY$4&gt;='APA Inputs'!$C$25,BY$4&lt;EDATE('APA Inputs'!$C$25,N('APA Inputs'!$D$25))),'APA Inputs'!$J$25,0)+IF(N('APA Inputs'!$H$25)&gt;0,IF(BY$4=EDATE('APA Inputs'!$C$25,'APA Inputs'!$H$25-1),N('APA Inputs'!$G$25),0),0))*IF('APA Inputs'!$I$25="",1,'APA Inputs'!$I$25))</f>
        <v>0</v>
      </c>
      <c r="BZ10" s="409" t="n">
        <f aca="false">IF('APA Inputs'!$C$25="",0,(IF(AND(BZ$4&gt;='APA Inputs'!$C$25,BZ$4&lt;EDATE('APA Inputs'!$C$25,N('APA Inputs'!$D$25))),'APA Inputs'!$J$25,0)+IF(N('APA Inputs'!$H$25)&gt;0,IF(BZ$4=EDATE('APA Inputs'!$C$25,'APA Inputs'!$H$25-1),N('APA Inputs'!$G$25),0),0))*IF('APA Inputs'!$I$25="",1,'APA Inputs'!$I$25))</f>
        <v>0</v>
      </c>
      <c r="CA10" s="409" t="n">
        <f aca="false">IF('APA Inputs'!$C$25="",0,(IF(AND(CA$4&gt;='APA Inputs'!$C$25,CA$4&lt;EDATE('APA Inputs'!$C$25,N('APA Inputs'!$D$25))),'APA Inputs'!$J$25,0)+IF(N('APA Inputs'!$H$25)&gt;0,IF(CA$4=EDATE('APA Inputs'!$C$25,'APA Inputs'!$H$25-1),N('APA Inputs'!$G$25),0),0))*IF('APA Inputs'!$I$25="",1,'APA Inputs'!$I$25))</f>
        <v>0</v>
      </c>
      <c r="CB10" s="409" t="n">
        <f aca="false">IF('APA Inputs'!$C$25="",0,(IF(AND(CB$4&gt;='APA Inputs'!$C$25,CB$4&lt;EDATE('APA Inputs'!$C$25,N('APA Inputs'!$D$25))),'APA Inputs'!$J$25,0)+IF(N('APA Inputs'!$H$25)&gt;0,IF(CB$4=EDATE('APA Inputs'!$C$25,'APA Inputs'!$H$25-1),N('APA Inputs'!$G$25),0),0))*IF('APA Inputs'!$I$25="",1,'APA Inputs'!$I$25))</f>
        <v>0</v>
      </c>
      <c r="CC10" s="409" t="n">
        <f aca="false">IF('APA Inputs'!$C$25="",0,(IF(AND(CC$4&gt;='APA Inputs'!$C$25,CC$4&lt;EDATE('APA Inputs'!$C$25,N('APA Inputs'!$D$25))),'APA Inputs'!$J$25,0)+IF(N('APA Inputs'!$H$25)&gt;0,IF(CC$4=EDATE('APA Inputs'!$C$25,'APA Inputs'!$H$25-1),N('APA Inputs'!$G$25),0),0))*IF('APA Inputs'!$I$25="",1,'APA Inputs'!$I$25))</f>
        <v>0</v>
      </c>
      <c r="CD10" s="409" t="n">
        <f aca="false">IF('APA Inputs'!$C$25="",0,(IF(AND(CD$4&gt;='APA Inputs'!$C$25,CD$4&lt;EDATE('APA Inputs'!$C$25,N('APA Inputs'!$D$25))),'APA Inputs'!$J$25,0)+IF(N('APA Inputs'!$H$25)&gt;0,IF(CD$4=EDATE('APA Inputs'!$C$25,'APA Inputs'!$H$25-1),N('APA Inputs'!$G$25),0),0))*IF('APA Inputs'!$I$25="",1,'APA Inputs'!$I$25))</f>
        <v>0</v>
      </c>
      <c r="CE10" s="409" t="n">
        <f aca="false">IF('APA Inputs'!$C$25="",0,(IF(AND(CE$4&gt;='APA Inputs'!$C$25,CE$4&lt;EDATE('APA Inputs'!$C$25,N('APA Inputs'!$D$25))),'APA Inputs'!$J$25,0)+IF(N('APA Inputs'!$H$25)&gt;0,IF(CE$4=EDATE('APA Inputs'!$C$25,'APA Inputs'!$H$25-1),N('APA Inputs'!$G$25),0),0))*IF('APA Inputs'!$I$25="",1,'APA Inputs'!$I$25))</f>
        <v>0</v>
      </c>
      <c r="CF10" s="409" t="n">
        <f aca="false">IF('APA Inputs'!$C$25="",0,(IF(AND(CF$4&gt;='APA Inputs'!$C$25,CF$4&lt;EDATE('APA Inputs'!$C$25,N('APA Inputs'!$D$25))),'APA Inputs'!$J$25,0)+IF(N('APA Inputs'!$H$25)&gt;0,IF(CF$4=EDATE('APA Inputs'!$C$25,'APA Inputs'!$H$25-1),N('APA Inputs'!$G$25),0),0))*IF('APA Inputs'!$I$25="",1,'APA Inputs'!$I$25))</f>
        <v>0</v>
      </c>
      <c r="CG10" s="409" t="n">
        <f aca="false">IF('APA Inputs'!$C$25="",0,(IF(AND(CG$4&gt;='APA Inputs'!$C$25,CG$4&lt;EDATE('APA Inputs'!$C$25,N('APA Inputs'!$D$25))),'APA Inputs'!$J$25,0)+IF(N('APA Inputs'!$H$25)&gt;0,IF(CG$4=EDATE('APA Inputs'!$C$25,'APA Inputs'!$H$25-1),N('APA Inputs'!$G$25),0),0))*IF('APA Inputs'!$I$25="",1,'APA Inputs'!$I$25))</f>
        <v>0</v>
      </c>
      <c r="CH10" s="409" t="n">
        <f aca="false">IF('APA Inputs'!$C$25="",0,(IF(AND(CH$4&gt;='APA Inputs'!$C$25,CH$4&lt;EDATE('APA Inputs'!$C$25,N('APA Inputs'!$D$25))),'APA Inputs'!$J$25,0)+IF(N('APA Inputs'!$H$25)&gt;0,IF(CH$4=EDATE('APA Inputs'!$C$25,'APA Inputs'!$H$25-1),N('APA Inputs'!$G$25),0),0))*IF('APA Inputs'!$I$25="",1,'APA Inputs'!$I$25))</f>
        <v>0</v>
      </c>
      <c r="CI10" s="409" t="n">
        <f aca="false">IF('APA Inputs'!$C$25="",0,(IF(AND(CI$4&gt;='APA Inputs'!$C$25,CI$4&lt;EDATE('APA Inputs'!$C$25,N('APA Inputs'!$D$25))),'APA Inputs'!$J$25,0)+IF(N('APA Inputs'!$H$25)&gt;0,IF(CI$4=EDATE('APA Inputs'!$C$25,'APA Inputs'!$H$25-1),N('APA Inputs'!$G$25),0),0))*IF('APA Inputs'!$I$25="",1,'APA Inputs'!$I$25))</f>
        <v>0</v>
      </c>
      <c r="CJ10" s="409" t="n">
        <f aca="false">IF('APA Inputs'!$C$25="",0,(IF(AND(CJ$4&gt;='APA Inputs'!$C$25,CJ$4&lt;EDATE('APA Inputs'!$C$25,N('APA Inputs'!$D$25))),'APA Inputs'!$J$25,0)+IF(N('APA Inputs'!$H$25)&gt;0,IF(CJ$4=EDATE('APA Inputs'!$C$25,'APA Inputs'!$H$25-1),N('APA Inputs'!$G$25),0),0))*IF('APA Inputs'!$I$25="",1,'APA Inputs'!$I$25))</f>
        <v>0</v>
      </c>
      <c r="CK10" s="409" t="n">
        <f aca="false">IF('APA Inputs'!$C$25="",0,(IF(AND(CK$4&gt;='APA Inputs'!$C$25,CK$4&lt;EDATE('APA Inputs'!$C$25,N('APA Inputs'!$D$25))),'APA Inputs'!$J$25,0)+IF(N('APA Inputs'!$H$25)&gt;0,IF(CK$4=EDATE('APA Inputs'!$C$25,'APA Inputs'!$H$25-1),N('APA Inputs'!$G$25),0),0))*IF('APA Inputs'!$I$25="",1,'APA Inputs'!$I$25))</f>
        <v>0</v>
      </c>
      <c r="CL10" s="409" t="n">
        <f aca="false">IF('APA Inputs'!$C$25="",0,(IF(AND(CL$4&gt;='APA Inputs'!$C$25,CL$4&lt;EDATE('APA Inputs'!$C$25,N('APA Inputs'!$D$25))),'APA Inputs'!$J$25,0)+IF(N('APA Inputs'!$H$25)&gt;0,IF(CL$4=EDATE('APA Inputs'!$C$25,'APA Inputs'!$H$25-1),N('APA Inputs'!$G$25),0),0))*IF('APA Inputs'!$I$25="",1,'APA Inputs'!$I$25))</f>
        <v>0</v>
      </c>
      <c r="CM10" s="409" t="n">
        <f aca="false">IF('APA Inputs'!$C$25="",0,(IF(AND(CM$4&gt;='APA Inputs'!$C$25,CM$4&lt;EDATE('APA Inputs'!$C$25,N('APA Inputs'!$D$25))),'APA Inputs'!$J$25,0)+IF(N('APA Inputs'!$H$25)&gt;0,IF(CM$4=EDATE('APA Inputs'!$C$25,'APA Inputs'!$H$25-1),N('APA Inputs'!$G$25),0),0))*IF('APA Inputs'!$I$25="",1,'APA Inputs'!$I$25))</f>
        <v>0</v>
      </c>
      <c r="CN10" s="409" t="n">
        <f aca="false">IF('APA Inputs'!$C$25="",0,(IF(AND(CN$4&gt;='APA Inputs'!$C$25,CN$4&lt;EDATE('APA Inputs'!$C$25,N('APA Inputs'!$D$25))),'APA Inputs'!$J$25,0)+IF(N('APA Inputs'!$H$25)&gt;0,IF(CN$4=EDATE('APA Inputs'!$C$25,'APA Inputs'!$H$25-1),N('APA Inputs'!$G$25),0),0))*IF('APA Inputs'!$I$25="",1,'APA Inputs'!$I$25))</f>
        <v>0</v>
      </c>
      <c r="CO10" s="409" t="n">
        <f aca="false">IF('APA Inputs'!$C$25="",0,(IF(AND(CO$4&gt;='APA Inputs'!$C$25,CO$4&lt;EDATE('APA Inputs'!$C$25,N('APA Inputs'!$D$25))),'APA Inputs'!$J$25,0)+IF(N('APA Inputs'!$H$25)&gt;0,IF(CO$4=EDATE('APA Inputs'!$C$25,'APA Inputs'!$H$25-1),N('APA Inputs'!$G$25),0),0))*IF('APA Inputs'!$I$25="",1,'APA Inputs'!$I$25))</f>
        <v>0</v>
      </c>
      <c r="CP10" s="409" t="n">
        <f aca="false">IF('APA Inputs'!$C$25="",0,(IF(AND(CP$4&gt;='APA Inputs'!$C$25,CP$4&lt;EDATE('APA Inputs'!$C$25,N('APA Inputs'!$D$25))),'APA Inputs'!$J$25,0)+IF(N('APA Inputs'!$H$25)&gt;0,IF(CP$4=EDATE('APA Inputs'!$C$25,'APA Inputs'!$H$25-1),N('APA Inputs'!$G$25),0),0))*IF('APA Inputs'!$I$25="",1,'APA Inputs'!$I$25))</f>
        <v>0</v>
      </c>
      <c r="CQ10" s="409" t="n">
        <f aca="false">IF('APA Inputs'!$C$25="",0,(IF(AND(CQ$4&gt;='APA Inputs'!$C$25,CQ$4&lt;EDATE('APA Inputs'!$C$25,N('APA Inputs'!$D$25))),'APA Inputs'!$J$25,0)+IF(N('APA Inputs'!$H$25)&gt;0,IF(CQ$4=EDATE('APA Inputs'!$C$25,'APA Inputs'!$H$25-1),N('APA Inputs'!$G$25),0),0))*IF('APA Inputs'!$I$25="",1,'APA Inputs'!$I$25))</f>
        <v>0</v>
      </c>
      <c r="CR10" s="409" t="n">
        <f aca="false">IF('APA Inputs'!$C$25="",0,(IF(AND(CR$4&gt;='APA Inputs'!$C$25,CR$4&lt;EDATE('APA Inputs'!$C$25,N('APA Inputs'!$D$25))),'APA Inputs'!$J$25,0)+IF(N('APA Inputs'!$H$25)&gt;0,IF(CR$4=EDATE('APA Inputs'!$C$25,'APA Inputs'!$H$25-1),N('APA Inputs'!$G$25),0),0))*IF('APA Inputs'!$I$25="",1,'APA Inputs'!$I$25))</f>
        <v>0</v>
      </c>
      <c r="CS10" s="409" t="n">
        <f aca="false">IF('APA Inputs'!$C$25="",0,(IF(AND(CS$4&gt;='APA Inputs'!$C$25,CS$4&lt;EDATE('APA Inputs'!$C$25,N('APA Inputs'!$D$25))),'APA Inputs'!$J$25,0)+IF(N('APA Inputs'!$H$25)&gt;0,IF(CS$4=EDATE('APA Inputs'!$C$25,'APA Inputs'!$H$25-1),N('APA Inputs'!$G$25),0),0))*IF('APA Inputs'!$I$25="",1,'APA Inputs'!$I$25))</f>
        <v>0</v>
      </c>
      <c r="CT10" s="409" t="n">
        <f aca="false">IF('APA Inputs'!$C$25="",0,(IF(AND(CT$4&gt;='APA Inputs'!$C$25,CT$4&lt;EDATE('APA Inputs'!$C$25,N('APA Inputs'!$D$25))),'APA Inputs'!$J$25,0)+IF(N('APA Inputs'!$H$25)&gt;0,IF(CT$4=EDATE('APA Inputs'!$C$25,'APA Inputs'!$H$25-1),N('APA Inputs'!$G$25),0),0))*IF('APA Inputs'!$I$25="",1,'APA Inputs'!$I$25))</f>
        <v>0</v>
      </c>
      <c r="CU10" s="409" t="n">
        <f aca="false">IF('APA Inputs'!$C$25="",0,(IF(AND(CU$4&gt;='APA Inputs'!$C$25,CU$4&lt;EDATE('APA Inputs'!$C$25,N('APA Inputs'!$D$25))),'APA Inputs'!$J$25,0)+IF(N('APA Inputs'!$H$25)&gt;0,IF(CU$4=EDATE('APA Inputs'!$C$25,'APA Inputs'!$H$25-1),N('APA Inputs'!$G$25),0),0))*IF('APA Inputs'!$I$25="",1,'APA Inputs'!$I$25))</f>
        <v>0</v>
      </c>
      <c r="CV10" s="409" t="n">
        <f aca="false">IF('APA Inputs'!$C$25="",0,(IF(AND(CV$4&gt;='APA Inputs'!$C$25,CV$4&lt;EDATE('APA Inputs'!$C$25,N('APA Inputs'!$D$25))),'APA Inputs'!$J$25,0)+IF(N('APA Inputs'!$H$25)&gt;0,IF(CV$4=EDATE('APA Inputs'!$C$25,'APA Inputs'!$H$25-1),N('APA Inputs'!$G$25),0),0))*IF('APA Inputs'!$I$25="",1,'APA Inputs'!$I$25))</f>
        <v>0</v>
      </c>
      <c r="CW10" s="409" t="n">
        <f aca="false">IF('APA Inputs'!$C$25="",0,(IF(AND(CW$4&gt;='APA Inputs'!$C$25,CW$4&lt;EDATE('APA Inputs'!$C$25,N('APA Inputs'!$D$25))),'APA Inputs'!$J$25,0)+IF(N('APA Inputs'!$H$25)&gt;0,IF(CW$4=EDATE('APA Inputs'!$C$25,'APA Inputs'!$H$25-1),N('APA Inputs'!$G$25),0),0))*IF('APA Inputs'!$I$25="",1,'APA Inputs'!$I$25))</f>
        <v>0</v>
      </c>
      <c r="CX10" s="409" t="n">
        <f aca="false">IF('APA Inputs'!$C$25="",0,(IF(AND(CX$4&gt;='APA Inputs'!$C$25,CX$4&lt;EDATE('APA Inputs'!$C$25,N('APA Inputs'!$D$25))),'APA Inputs'!$J$25,0)+IF(N('APA Inputs'!$H$25)&gt;0,IF(CX$4=EDATE('APA Inputs'!$C$25,'APA Inputs'!$H$25-1),N('APA Inputs'!$G$25),0),0))*IF('APA Inputs'!$I$25="",1,'APA Inputs'!$I$25))</f>
        <v>0</v>
      </c>
      <c r="CY10" s="409" t="n">
        <f aca="false">IF('APA Inputs'!$C$25="",0,(IF(AND(CY$4&gt;='APA Inputs'!$C$25,CY$4&lt;EDATE('APA Inputs'!$C$25,N('APA Inputs'!$D$25))),'APA Inputs'!$J$25,0)+IF(N('APA Inputs'!$H$25)&gt;0,IF(CY$4=EDATE('APA Inputs'!$C$25,'APA Inputs'!$H$25-1),N('APA Inputs'!$G$25),0),0))*IF('APA Inputs'!$I$25="",1,'APA Inputs'!$I$25))</f>
        <v>0</v>
      </c>
      <c r="CZ10" s="409" t="n">
        <f aca="false">IF('APA Inputs'!$C$25="",0,(IF(AND(CZ$4&gt;='APA Inputs'!$C$25,CZ$4&lt;EDATE('APA Inputs'!$C$25,N('APA Inputs'!$D$25))),'APA Inputs'!$J$25,0)+IF(N('APA Inputs'!$H$25)&gt;0,IF(CZ$4=EDATE('APA Inputs'!$C$25,'APA Inputs'!$H$25-1),N('APA Inputs'!$G$25),0),0))*IF('APA Inputs'!$I$25="",1,'APA Inputs'!$I$25))</f>
        <v>0</v>
      </c>
      <c r="DA10" s="409" t="n">
        <f aca="false">IF('APA Inputs'!$C$25="",0,(IF(AND(DA$4&gt;='APA Inputs'!$C$25,DA$4&lt;EDATE('APA Inputs'!$C$25,N('APA Inputs'!$D$25))),'APA Inputs'!$J$25,0)+IF(N('APA Inputs'!$H$25)&gt;0,IF(DA$4=EDATE('APA Inputs'!$C$25,'APA Inputs'!$H$25-1),N('APA Inputs'!$G$25),0),0))*IF('APA Inputs'!$I$25="",1,'APA Inputs'!$I$25))</f>
        <v>0</v>
      </c>
      <c r="DB10" s="409" t="n">
        <f aca="false">IF('APA Inputs'!$C$25="",0,(IF(AND(DB$4&gt;='APA Inputs'!$C$25,DB$4&lt;EDATE('APA Inputs'!$C$25,N('APA Inputs'!$D$25))),'APA Inputs'!$J$25,0)+IF(N('APA Inputs'!$H$25)&gt;0,IF(DB$4=EDATE('APA Inputs'!$C$25,'APA Inputs'!$H$25-1),N('APA Inputs'!$G$25),0),0))*IF('APA Inputs'!$I$25="",1,'APA Inputs'!$I$25))</f>
        <v>0</v>
      </c>
      <c r="DC10" s="409" t="n">
        <f aca="false">IF('APA Inputs'!$C$25="",0,(IF(AND(DC$4&gt;='APA Inputs'!$C$25,DC$4&lt;EDATE('APA Inputs'!$C$25,N('APA Inputs'!$D$25))),'APA Inputs'!$J$25,0)+IF(N('APA Inputs'!$H$25)&gt;0,IF(DC$4=EDATE('APA Inputs'!$C$25,'APA Inputs'!$H$25-1),N('APA Inputs'!$G$25),0),0))*IF('APA Inputs'!$I$25="",1,'APA Inputs'!$I$25))</f>
        <v>0</v>
      </c>
      <c r="DD10" s="409" t="n">
        <f aca="false">IF('APA Inputs'!$C$25="",0,(IF(AND(DD$4&gt;='APA Inputs'!$C$25,DD$4&lt;EDATE('APA Inputs'!$C$25,N('APA Inputs'!$D$25))),'APA Inputs'!$J$25,0)+IF(N('APA Inputs'!$H$25)&gt;0,IF(DD$4=EDATE('APA Inputs'!$C$25,'APA Inputs'!$H$25-1),N('APA Inputs'!$G$25),0),0))*IF('APA Inputs'!$I$25="",1,'APA Inputs'!$I$25))</f>
        <v>0</v>
      </c>
      <c r="DE10" s="40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09" t="n">
        <f aca="false">IF('APA Inputs'!$C$26="",0,(IF(AND(B$4&gt;='APA Inputs'!$C$26,B$4&lt;EDATE('APA Inputs'!$C$26,N('APA Inputs'!$D$26))),'APA Inputs'!$J$26,0)+IF(N('APA Inputs'!$H$26)&gt;0,IF(B$4=EDATE('APA Inputs'!$C$26,'APA Inputs'!$H$26-1),N('APA Inputs'!$G$26),0),0))*IF('APA Inputs'!$I$26="",1,'APA Inputs'!$I$26))</f>
        <v>0</v>
      </c>
      <c r="C11" s="409" t="n">
        <f aca="false">IF('APA Inputs'!$C$26="",0,(IF(AND(C$4&gt;='APA Inputs'!$C$26,C$4&lt;EDATE('APA Inputs'!$C$26,N('APA Inputs'!$D$26))),'APA Inputs'!$J$26,0)+IF(N('APA Inputs'!$H$26)&gt;0,IF(C$4=EDATE('APA Inputs'!$C$26,'APA Inputs'!$H$26-1),N('APA Inputs'!$G$26),0),0))*IF('APA Inputs'!$I$26="",1,'APA Inputs'!$I$26))</f>
        <v>0</v>
      </c>
      <c r="D11" s="409" t="n">
        <f aca="false">IF('APA Inputs'!$C$26="",0,(IF(AND(D$4&gt;='APA Inputs'!$C$26,D$4&lt;EDATE('APA Inputs'!$C$26,N('APA Inputs'!$D$26))),'APA Inputs'!$J$26,0)+IF(N('APA Inputs'!$H$26)&gt;0,IF(D$4=EDATE('APA Inputs'!$C$26,'APA Inputs'!$H$26-1),N('APA Inputs'!$G$26),0),0))*IF('APA Inputs'!$I$26="",1,'APA Inputs'!$I$26))</f>
        <v>0</v>
      </c>
      <c r="E11" s="409" t="n">
        <f aca="false">IF('APA Inputs'!$C$26="",0,(IF(AND(E$4&gt;='APA Inputs'!$C$26,E$4&lt;EDATE('APA Inputs'!$C$26,N('APA Inputs'!$D$26))),'APA Inputs'!$J$26,0)+IF(N('APA Inputs'!$H$26)&gt;0,IF(E$4=EDATE('APA Inputs'!$C$26,'APA Inputs'!$H$26-1),N('APA Inputs'!$G$26),0),0))*IF('APA Inputs'!$I$26="",1,'APA Inputs'!$I$26))</f>
        <v>0</v>
      </c>
      <c r="F11" s="409" t="n">
        <f aca="false">IF('APA Inputs'!$C$26="",0,(IF(AND(F$4&gt;='APA Inputs'!$C$26,F$4&lt;EDATE('APA Inputs'!$C$26,N('APA Inputs'!$D$26))),'APA Inputs'!$J$26,0)+IF(N('APA Inputs'!$H$26)&gt;0,IF(F$4=EDATE('APA Inputs'!$C$26,'APA Inputs'!$H$26-1),N('APA Inputs'!$G$26),0),0))*IF('APA Inputs'!$I$26="",1,'APA Inputs'!$I$26))</f>
        <v>0</v>
      </c>
      <c r="G11" s="409" t="n">
        <f aca="false">IF('APA Inputs'!$C$26="",0,(IF(AND(G$4&gt;='APA Inputs'!$C$26,G$4&lt;EDATE('APA Inputs'!$C$26,N('APA Inputs'!$D$26))),'APA Inputs'!$J$26,0)+IF(N('APA Inputs'!$H$26)&gt;0,IF(G$4=EDATE('APA Inputs'!$C$26,'APA Inputs'!$H$26-1),N('APA Inputs'!$G$26),0),0))*IF('APA Inputs'!$I$26="",1,'APA Inputs'!$I$26))</f>
        <v>0</v>
      </c>
      <c r="H11" s="409" t="n">
        <f aca="false">IF('APA Inputs'!$C$26="",0,(IF(AND(H$4&gt;='APA Inputs'!$C$26,H$4&lt;EDATE('APA Inputs'!$C$26,N('APA Inputs'!$D$26))),'APA Inputs'!$J$26,0)+IF(N('APA Inputs'!$H$26)&gt;0,IF(H$4=EDATE('APA Inputs'!$C$26,'APA Inputs'!$H$26-1),N('APA Inputs'!$G$26),0),0))*IF('APA Inputs'!$I$26="",1,'APA Inputs'!$I$26))</f>
        <v>0</v>
      </c>
      <c r="I11" s="409" t="n">
        <f aca="false">IF('APA Inputs'!$C$26="",0,(IF(AND(I$4&gt;='APA Inputs'!$C$26,I$4&lt;EDATE('APA Inputs'!$C$26,N('APA Inputs'!$D$26))),'APA Inputs'!$J$26,0)+IF(N('APA Inputs'!$H$26)&gt;0,IF(I$4=EDATE('APA Inputs'!$C$26,'APA Inputs'!$H$26-1),N('APA Inputs'!$G$26),0),0))*IF('APA Inputs'!$I$26="",1,'APA Inputs'!$I$26))</f>
        <v>0</v>
      </c>
      <c r="J11" s="409" t="n">
        <f aca="false">IF('APA Inputs'!$C$26="",0,(IF(AND(J$4&gt;='APA Inputs'!$C$26,J$4&lt;EDATE('APA Inputs'!$C$26,N('APA Inputs'!$D$26))),'APA Inputs'!$J$26,0)+IF(N('APA Inputs'!$H$26)&gt;0,IF(J$4=EDATE('APA Inputs'!$C$26,'APA Inputs'!$H$26-1),N('APA Inputs'!$G$26),0),0))*IF('APA Inputs'!$I$26="",1,'APA Inputs'!$I$26))</f>
        <v>0</v>
      </c>
      <c r="K11" s="409" t="n">
        <f aca="false">IF('APA Inputs'!$C$26="",0,(IF(AND(K$4&gt;='APA Inputs'!$C$26,K$4&lt;EDATE('APA Inputs'!$C$26,N('APA Inputs'!$D$26))),'APA Inputs'!$J$26,0)+IF(N('APA Inputs'!$H$26)&gt;0,IF(K$4=EDATE('APA Inputs'!$C$26,'APA Inputs'!$H$26-1),N('APA Inputs'!$G$26),0),0))*IF('APA Inputs'!$I$26="",1,'APA Inputs'!$I$26))</f>
        <v>0</v>
      </c>
      <c r="L11" s="409" t="n">
        <f aca="false">IF('APA Inputs'!$C$26="",0,(IF(AND(L$4&gt;='APA Inputs'!$C$26,L$4&lt;EDATE('APA Inputs'!$C$26,N('APA Inputs'!$D$26))),'APA Inputs'!$J$26,0)+IF(N('APA Inputs'!$H$26)&gt;0,IF(L$4=EDATE('APA Inputs'!$C$26,'APA Inputs'!$H$26-1),N('APA Inputs'!$G$26),0),0))*IF('APA Inputs'!$I$26="",1,'APA Inputs'!$I$26))</f>
        <v>0</v>
      </c>
      <c r="M11" s="409" t="n">
        <f aca="false">IF('APA Inputs'!$C$26="",0,(IF(AND(M$4&gt;='APA Inputs'!$C$26,M$4&lt;EDATE('APA Inputs'!$C$26,N('APA Inputs'!$D$26))),'APA Inputs'!$J$26,0)+IF(N('APA Inputs'!$H$26)&gt;0,IF(M$4=EDATE('APA Inputs'!$C$26,'APA Inputs'!$H$26-1),N('APA Inputs'!$G$26),0),0))*IF('APA Inputs'!$I$26="",1,'APA Inputs'!$I$26))</f>
        <v>0</v>
      </c>
      <c r="N11" s="409" t="n">
        <f aca="false">IF('APA Inputs'!$C$26="",0,(IF(AND(N$4&gt;='APA Inputs'!$C$26,N$4&lt;EDATE('APA Inputs'!$C$26,N('APA Inputs'!$D$26))),'APA Inputs'!$J$26,0)+IF(N('APA Inputs'!$H$26)&gt;0,IF(N$4=EDATE('APA Inputs'!$C$26,'APA Inputs'!$H$26-1),N('APA Inputs'!$G$26),0),0))*IF('APA Inputs'!$I$26="",1,'APA Inputs'!$I$26))</f>
        <v>0</v>
      </c>
      <c r="O11" s="409" t="n">
        <f aca="false">IF('APA Inputs'!$C$26="",0,(IF(AND(O$4&gt;='APA Inputs'!$C$26,O$4&lt;EDATE('APA Inputs'!$C$26,N('APA Inputs'!$D$26))),'APA Inputs'!$J$26,0)+IF(N('APA Inputs'!$H$26)&gt;0,IF(O$4=EDATE('APA Inputs'!$C$26,'APA Inputs'!$H$26-1),N('APA Inputs'!$G$26),0),0))*IF('APA Inputs'!$I$26="",1,'APA Inputs'!$I$26))</f>
        <v>0</v>
      </c>
      <c r="P11" s="409" t="n">
        <f aca="false">IF('APA Inputs'!$C$26="",0,(IF(AND(P$4&gt;='APA Inputs'!$C$26,P$4&lt;EDATE('APA Inputs'!$C$26,N('APA Inputs'!$D$26))),'APA Inputs'!$J$26,0)+IF(N('APA Inputs'!$H$26)&gt;0,IF(P$4=EDATE('APA Inputs'!$C$26,'APA Inputs'!$H$26-1),N('APA Inputs'!$G$26),0),0))*IF('APA Inputs'!$I$26="",1,'APA Inputs'!$I$26))</f>
        <v>0</v>
      </c>
      <c r="Q11" s="409" t="n">
        <f aca="false">IF('APA Inputs'!$C$26="",0,(IF(AND(Q$4&gt;='APA Inputs'!$C$26,Q$4&lt;EDATE('APA Inputs'!$C$26,N('APA Inputs'!$D$26))),'APA Inputs'!$J$26,0)+IF(N('APA Inputs'!$H$26)&gt;0,IF(Q$4=EDATE('APA Inputs'!$C$26,'APA Inputs'!$H$26-1),N('APA Inputs'!$G$26),0),0))*IF('APA Inputs'!$I$26="",1,'APA Inputs'!$I$26))</f>
        <v>0</v>
      </c>
      <c r="R11" s="409" t="n">
        <f aca="false">IF('APA Inputs'!$C$26="",0,(IF(AND(R$4&gt;='APA Inputs'!$C$26,R$4&lt;EDATE('APA Inputs'!$C$26,N('APA Inputs'!$D$26))),'APA Inputs'!$J$26,0)+IF(N('APA Inputs'!$H$26)&gt;0,IF(R$4=EDATE('APA Inputs'!$C$26,'APA Inputs'!$H$26-1),N('APA Inputs'!$G$26),0),0))*IF('APA Inputs'!$I$26="",1,'APA Inputs'!$I$26))</f>
        <v>0</v>
      </c>
      <c r="S11" s="409" t="n">
        <f aca="false">IF('APA Inputs'!$C$26="",0,(IF(AND(S$4&gt;='APA Inputs'!$C$26,S$4&lt;EDATE('APA Inputs'!$C$26,N('APA Inputs'!$D$26))),'APA Inputs'!$J$26,0)+IF(N('APA Inputs'!$H$26)&gt;0,IF(S$4=EDATE('APA Inputs'!$C$26,'APA Inputs'!$H$26-1),N('APA Inputs'!$G$26),0),0))*IF('APA Inputs'!$I$26="",1,'APA Inputs'!$I$26))</f>
        <v>4166</v>
      </c>
      <c r="T11" s="409" t="n">
        <f aca="false">IF('APA Inputs'!$C$26="",0,(IF(AND(T$4&gt;='APA Inputs'!$C$26,T$4&lt;EDATE('APA Inputs'!$C$26,N('APA Inputs'!$D$26))),'APA Inputs'!$J$26,0)+IF(N('APA Inputs'!$H$26)&gt;0,IF(T$4=EDATE('APA Inputs'!$C$26,'APA Inputs'!$H$26-1),N('APA Inputs'!$G$26),0),0))*IF('APA Inputs'!$I$26="",1,'APA Inputs'!$I$26))</f>
        <v>4166</v>
      </c>
      <c r="U11" s="409" t="n">
        <f aca="false">IF('APA Inputs'!$C$26="",0,(IF(AND(U$4&gt;='APA Inputs'!$C$26,U$4&lt;EDATE('APA Inputs'!$C$26,N('APA Inputs'!$D$26))),'APA Inputs'!$J$26,0)+IF(N('APA Inputs'!$H$26)&gt;0,IF(U$4=EDATE('APA Inputs'!$C$26,'APA Inputs'!$H$26-1),N('APA Inputs'!$G$26),0),0))*IF('APA Inputs'!$I$26="",1,'APA Inputs'!$I$26))</f>
        <v>4166</v>
      </c>
      <c r="V11" s="409" t="n">
        <f aca="false">IF('APA Inputs'!$C$26="",0,(IF(AND(V$4&gt;='APA Inputs'!$C$26,V$4&lt;EDATE('APA Inputs'!$C$26,N('APA Inputs'!$D$26))),'APA Inputs'!$J$26,0)+IF(N('APA Inputs'!$H$26)&gt;0,IF(V$4=EDATE('APA Inputs'!$C$26,'APA Inputs'!$H$26-1),N('APA Inputs'!$G$26),0),0))*IF('APA Inputs'!$I$26="",1,'APA Inputs'!$I$26))</f>
        <v>4166</v>
      </c>
      <c r="W11" s="409" t="n">
        <f aca="false">IF('APA Inputs'!$C$26="",0,(IF(AND(W$4&gt;='APA Inputs'!$C$26,W$4&lt;EDATE('APA Inputs'!$C$26,N('APA Inputs'!$D$26))),'APA Inputs'!$J$26,0)+IF(N('APA Inputs'!$H$26)&gt;0,IF(W$4=EDATE('APA Inputs'!$C$26,'APA Inputs'!$H$26-1),N('APA Inputs'!$G$26),0),0))*IF('APA Inputs'!$I$26="",1,'APA Inputs'!$I$26))</f>
        <v>4166</v>
      </c>
      <c r="X11" s="409" t="n">
        <f aca="false">IF('APA Inputs'!$C$26="",0,(IF(AND(X$4&gt;='APA Inputs'!$C$26,X$4&lt;EDATE('APA Inputs'!$C$26,N('APA Inputs'!$D$26))),'APA Inputs'!$J$26,0)+IF(N('APA Inputs'!$H$26)&gt;0,IF(X$4=EDATE('APA Inputs'!$C$26,'APA Inputs'!$H$26-1),N('APA Inputs'!$G$26),0),0))*IF('APA Inputs'!$I$26="",1,'APA Inputs'!$I$26))</f>
        <v>4166</v>
      </c>
      <c r="Y11" s="409" t="n">
        <f aca="false">IF('APA Inputs'!$C$26="",0,(IF(AND(Y$4&gt;='APA Inputs'!$C$26,Y$4&lt;EDATE('APA Inputs'!$C$26,N('APA Inputs'!$D$26))),'APA Inputs'!$J$26,0)+IF(N('APA Inputs'!$H$26)&gt;0,IF(Y$4=EDATE('APA Inputs'!$C$26,'APA Inputs'!$H$26-1),N('APA Inputs'!$G$26),0),0))*IF('APA Inputs'!$I$26="",1,'APA Inputs'!$I$26))</f>
        <v>4166</v>
      </c>
      <c r="Z11" s="409" t="n">
        <f aca="false">IF('APA Inputs'!$C$26="",0,(IF(AND(Z$4&gt;='APA Inputs'!$C$26,Z$4&lt;EDATE('APA Inputs'!$C$26,N('APA Inputs'!$D$26))),'APA Inputs'!$J$26,0)+IF(N('APA Inputs'!$H$26)&gt;0,IF(Z$4=EDATE('APA Inputs'!$C$26,'APA Inputs'!$H$26-1),N('APA Inputs'!$G$26),0),0))*IF('APA Inputs'!$I$26="",1,'APA Inputs'!$I$26))</f>
        <v>4166</v>
      </c>
      <c r="AA11" s="409" t="n">
        <f aca="false">IF('APA Inputs'!$C$26="",0,(IF(AND(AA$4&gt;='APA Inputs'!$C$26,AA$4&lt;EDATE('APA Inputs'!$C$26,N('APA Inputs'!$D$26))),'APA Inputs'!$J$26,0)+IF(N('APA Inputs'!$H$26)&gt;0,IF(AA$4=EDATE('APA Inputs'!$C$26,'APA Inputs'!$H$26-1),N('APA Inputs'!$G$26),0),0))*IF('APA Inputs'!$I$26="",1,'APA Inputs'!$I$26))</f>
        <v>4166</v>
      </c>
      <c r="AB11" s="409" t="n">
        <f aca="false">IF('APA Inputs'!$C$26="",0,(IF(AND(AB$4&gt;='APA Inputs'!$C$26,AB$4&lt;EDATE('APA Inputs'!$C$26,N('APA Inputs'!$D$26))),'APA Inputs'!$J$26,0)+IF(N('APA Inputs'!$H$26)&gt;0,IF(AB$4=EDATE('APA Inputs'!$C$26,'APA Inputs'!$H$26-1),N('APA Inputs'!$G$26),0),0))*IF('APA Inputs'!$I$26="",1,'APA Inputs'!$I$26))</f>
        <v>4166</v>
      </c>
      <c r="AC11" s="409" t="n">
        <f aca="false">IF('APA Inputs'!$C$26="",0,(IF(AND(AC$4&gt;='APA Inputs'!$C$26,AC$4&lt;EDATE('APA Inputs'!$C$26,N('APA Inputs'!$D$26))),'APA Inputs'!$J$26,0)+IF(N('APA Inputs'!$H$26)&gt;0,IF(AC$4=EDATE('APA Inputs'!$C$26,'APA Inputs'!$H$26-1),N('APA Inputs'!$G$26),0),0))*IF('APA Inputs'!$I$26="",1,'APA Inputs'!$I$26))</f>
        <v>4166</v>
      </c>
      <c r="AD11" s="409" t="n">
        <f aca="false">IF('APA Inputs'!$C$26="",0,(IF(AND(AD$4&gt;='APA Inputs'!$C$26,AD$4&lt;EDATE('APA Inputs'!$C$26,N('APA Inputs'!$D$26))),'APA Inputs'!$J$26,0)+IF(N('APA Inputs'!$H$26)&gt;0,IF(AD$4=EDATE('APA Inputs'!$C$26,'APA Inputs'!$H$26-1),N('APA Inputs'!$G$26),0),0))*IF('APA Inputs'!$I$26="",1,'APA Inputs'!$I$26))</f>
        <v>4166</v>
      </c>
      <c r="AE11" s="409" t="n">
        <f aca="false">IF('APA Inputs'!$C$26="",0,(IF(AND(AE$4&gt;='APA Inputs'!$C$26,AE$4&lt;EDATE('APA Inputs'!$C$26,N('APA Inputs'!$D$26))),'APA Inputs'!$J$26,0)+IF(N('APA Inputs'!$H$26)&gt;0,IF(AE$4=EDATE('APA Inputs'!$C$26,'APA Inputs'!$H$26-1),N('APA Inputs'!$G$26),0),0))*IF('APA Inputs'!$I$26="",1,'APA Inputs'!$I$26))</f>
        <v>4166</v>
      </c>
      <c r="AF11" s="409" t="n">
        <f aca="false">IF('APA Inputs'!$C$26="",0,(IF(AND(AF$4&gt;='APA Inputs'!$C$26,AF$4&lt;EDATE('APA Inputs'!$C$26,N('APA Inputs'!$D$26))),'APA Inputs'!$J$26,0)+IF(N('APA Inputs'!$H$26)&gt;0,IF(AF$4=EDATE('APA Inputs'!$C$26,'APA Inputs'!$H$26-1),N('APA Inputs'!$G$26),0),0))*IF('APA Inputs'!$I$26="",1,'APA Inputs'!$I$26))</f>
        <v>0</v>
      </c>
      <c r="AG11" s="409" t="n">
        <f aca="false">IF('APA Inputs'!$C$26="",0,(IF(AND(AG$4&gt;='APA Inputs'!$C$26,AG$4&lt;EDATE('APA Inputs'!$C$26,N('APA Inputs'!$D$26))),'APA Inputs'!$J$26,0)+IF(N('APA Inputs'!$H$26)&gt;0,IF(AG$4=EDATE('APA Inputs'!$C$26,'APA Inputs'!$H$26-1),N('APA Inputs'!$G$26),0),0))*IF('APA Inputs'!$I$26="",1,'APA Inputs'!$I$26))</f>
        <v>0</v>
      </c>
      <c r="AH11" s="409" t="n">
        <f aca="false">IF('APA Inputs'!$C$26="",0,(IF(AND(AH$4&gt;='APA Inputs'!$C$26,AH$4&lt;EDATE('APA Inputs'!$C$26,N('APA Inputs'!$D$26))),'APA Inputs'!$J$26,0)+IF(N('APA Inputs'!$H$26)&gt;0,IF(AH$4=EDATE('APA Inputs'!$C$26,'APA Inputs'!$H$26-1),N('APA Inputs'!$G$26),0),0))*IF('APA Inputs'!$I$26="",1,'APA Inputs'!$I$26))</f>
        <v>0</v>
      </c>
      <c r="AI11" s="409" t="n">
        <f aca="false">IF('APA Inputs'!$C$26="",0,(IF(AND(AI$4&gt;='APA Inputs'!$C$26,AI$4&lt;EDATE('APA Inputs'!$C$26,N('APA Inputs'!$D$26))),'APA Inputs'!$J$26,0)+IF(N('APA Inputs'!$H$26)&gt;0,IF(AI$4=EDATE('APA Inputs'!$C$26,'APA Inputs'!$H$26-1),N('APA Inputs'!$G$26),0),0))*IF('APA Inputs'!$I$26="",1,'APA Inputs'!$I$26))</f>
        <v>0</v>
      </c>
      <c r="AJ11" s="409" t="n">
        <f aca="false">IF('APA Inputs'!$C$26="",0,(IF(AND(AJ$4&gt;='APA Inputs'!$C$26,AJ$4&lt;EDATE('APA Inputs'!$C$26,N('APA Inputs'!$D$26))),'APA Inputs'!$J$26,0)+IF(N('APA Inputs'!$H$26)&gt;0,IF(AJ$4=EDATE('APA Inputs'!$C$26,'APA Inputs'!$H$26-1),N('APA Inputs'!$G$26),0),0))*IF('APA Inputs'!$I$26="",1,'APA Inputs'!$I$26))</f>
        <v>0</v>
      </c>
      <c r="AK11" s="409" t="n">
        <f aca="false">IF('APA Inputs'!$C$26="",0,(IF(AND(AK$4&gt;='APA Inputs'!$C$26,AK$4&lt;EDATE('APA Inputs'!$C$26,N('APA Inputs'!$D$26))),'APA Inputs'!$J$26,0)+IF(N('APA Inputs'!$H$26)&gt;0,IF(AK$4=EDATE('APA Inputs'!$C$26,'APA Inputs'!$H$26-1),N('APA Inputs'!$G$26),0),0))*IF('APA Inputs'!$I$26="",1,'APA Inputs'!$I$26))</f>
        <v>0</v>
      </c>
      <c r="AL11" s="409" t="n">
        <f aca="false">IF('APA Inputs'!$C$26="",0,(IF(AND(AL$4&gt;='APA Inputs'!$C$26,AL$4&lt;EDATE('APA Inputs'!$C$26,N('APA Inputs'!$D$26))),'APA Inputs'!$J$26,0)+IF(N('APA Inputs'!$H$26)&gt;0,IF(AL$4=EDATE('APA Inputs'!$C$26,'APA Inputs'!$H$26-1),N('APA Inputs'!$G$26),0),0))*IF('APA Inputs'!$I$26="",1,'APA Inputs'!$I$26))</f>
        <v>0</v>
      </c>
      <c r="AM11" s="409" t="n">
        <f aca="false">IF('APA Inputs'!$C$26="",0,(IF(AND(AM$4&gt;='APA Inputs'!$C$26,AM$4&lt;EDATE('APA Inputs'!$C$26,N('APA Inputs'!$D$26))),'APA Inputs'!$J$26,0)+IF(N('APA Inputs'!$H$26)&gt;0,IF(AM$4=EDATE('APA Inputs'!$C$26,'APA Inputs'!$H$26-1),N('APA Inputs'!$G$26),0),0))*IF('APA Inputs'!$I$26="",1,'APA Inputs'!$I$26))</f>
        <v>0</v>
      </c>
      <c r="AN11" s="409" t="n">
        <f aca="false">IF('APA Inputs'!$C$26="",0,(IF(AND(AN$4&gt;='APA Inputs'!$C$26,AN$4&lt;EDATE('APA Inputs'!$C$26,N('APA Inputs'!$D$26))),'APA Inputs'!$J$26,0)+IF(N('APA Inputs'!$H$26)&gt;0,IF(AN$4=EDATE('APA Inputs'!$C$26,'APA Inputs'!$H$26-1),N('APA Inputs'!$G$26),0),0))*IF('APA Inputs'!$I$26="",1,'APA Inputs'!$I$26))</f>
        <v>0</v>
      </c>
      <c r="AO11" s="409" t="n">
        <f aca="false">IF('APA Inputs'!$C$26="",0,(IF(AND(AO$4&gt;='APA Inputs'!$C$26,AO$4&lt;EDATE('APA Inputs'!$C$26,N('APA Inputs'!$D$26))),'APA Inputs'!$J$26,0)+IF(N('APA Inputs'!$H$26)&gt;0,IF(AO$4=EDATE('APA Inputs'!$C$26,'APA Inputs'!$H$26-1),N('APA Inputs'!$G$26),0),0))*IF('APA Inputs'!$I$26="",1,'APA Inputs'!$I$26))</f>
        <v>0</v>
      </c>
      <c r="AP11" s="409" t="n">
        <f aca="false">IF('APA Inputs'!$C$26="",0,(IF(AND(AP$4&gt;='APA Inputs'!$C$26,AP$4&lt;EDATE('APA Inputs'!$C$26,N('APA Inputs'!$D$26))),'APA Inputs'!$J$26,0)+IF(N('APA Inputs'!$H$26)&gt;0,IF(AP$4=EDATE('APA Inputs'!$C$26,'APA Inputs'!$H$26-1),N('APA Inputs'!$G$26),0),0))*IF('APA Inputs'!$I$26="",1,'APA Inputs'!$I$26))</f>
        <v>0</v>
      </c>
      <c r="AQ11" s="409" t="n">
        <f aca="false">IF('APA Inputs'!$C$26="",0,(IF(AND(AQ$4&gt;='APA Inputs'!$C$26,AQ$4&lt;EDATE('APA Inputs'!$C$26,N('APA Inputs'!$D$26))),'APA Inputs'!$J$26,0)+IF(N('APA Inputs'!$H$26)&gt;0,IF(AQ$4=EDATE('APA Inputs'!$C$26,'APA Inputs'!$H$26-1),N('APA Inputs'!$G$26),0),0))*IF('APA Inputs'!$I$26="",1,'APA Inputs'!$I$26))</f>
        <v>0</v>
      </c>
      <c r="AR11" s="409" t="n">
        <f aca="false">IF('APA Inputs'!$C$26="",0,(IF(AND(AR$4&gt;='APA Inputs'!$C$26,AR$4&lt;EDATE('APA Inputs'!$C$26,N('APA Inputs'!$D$26))),'APA Inputs'!$J$26,0)+IF(N('APA Inputs'!$H$26)&gt;0,IF(AR$4=EDATE('APA Inputs'!$C$26,'APA Inputs'!$H$26-1),N('APA Inputs'!$G$26),0),0))*IF('APA Inputs'!$I$26="",1,'APA Inputs'!$I$26))</f>
        <v>0</v>
      </c>
      <c r="AS11" s="409" t="n">
        <f aca="false">IF('APA Inputs'!$C$26="",0,(IF(AND(AS$4&gt;='APA Inputs'!$C$26,AS$4&lt;EDATE('APA Inputs'!$C$26,N('APA Inputs'!$D$26))),'APA Inputs'!$J$26,0)+IF(N('APA Inputs'!$H$26)&gt;0,IF(AS$4=EDATE('APA Inputs'!$C$26,'APA Inputs'!$H$26-1),N('APA Inputs'!$G$26),0),0))*IF('APA Inputs'!$I$26="",1,'APA Inputs'!$I$26))</f>
        <v>0</v>
      </c>
      <c r="AT11" s="409" t="n">
        <f aca="false">IF('APA Inputs'!$C$26="",0,(IF(AND(AT$4&gt;='APA Inputs'!$C$26,AT$4&lt;EDATE('APA Inputs'!$C$26,N('APA Inputs'!$D$26))),'APA Inputs'!$J$26,0)+IF(N('APA Inputs'!$H$26)&gt;0,IF(AT$4=EDATE('APA Inputs'!$C$26,'APA Inputs'!$H$26-1),N('APA Inputs'!$G$26),0),0))*IF('APA Inputs'!$I$26="",1,'APA Inputs'!$I$26))</f>
        <v>0</v>
      </c>
      <c r="AU11" s="409" t="n">
        <f aca="false">IF('APA Inputs'!$C$26="",0,(IF(AND(AU$4&gt;='APA Inputs'!$C$26,AU$4&lt;EDATE('APA Inputs'!$C$26,N('APA Inputs'!$D$26))),'APA Inputs'!$J$26,0)+IF(N('APA Inputs'!$H$26)&gt;0,IF(AU$4=EDATE('APA Inputs'!$C$26,'APA Inputs'!$H$26-1),N('APA Inputs'!$G$26),0),0))*IF('APA Inputs'!$I$26="",1,'APA Inputs'!$I$26))</f>
        <v>0</v>
      </c>
      <c r="AV11" s="409" t="n">
        <f aca="false">IF('APA Inputs'!$C$26="",0,(IF(AND(AV$4&gt;='APA Inputs'!$C$26,AV$4&lt;EDATE('APA Inputs'!$C$26,N('APA Inputs'!$D$26))),'APA Inputs'!$J$26,0)+IF(N('APA Inputs'!$H$26)&gt;0,IF(AV$4=EDATE('APA Inputs'!$C$26,'APA Inputs'!$H$26-1),N('APA Inputs'!$G$26),0),0))*IF('APA Inputs'!$I$26="",1,'APA Inputs'!$I$26))</f>
        <v>0</v>
      </c>
      <c r="AW11" s="409" t="n">
        <f aca="false">IF('APA Inputs'!$C$26="",0,(IF(AND(AW$4&gt;='APA Inputs'!$C$26,AW$4&lt;EDATE('APA Inputs'!$C$26,N('APA Inputs'!$D$26))),'APA Inputs'!$J$26,0)+IF(N('APA Inputs'!$H$26)&gt;0,IF(AW$4=EDATE('APA Inputs'!$C$26,'APA Inputs'!$H$26-1),N('APA Inputs'!$G$26),0),0))*IF('APA Inputs'!$I$26="",1,'APA Inputs'!$I$26))</f>
        <v>0</v>
      </c>
      <c r="AX11" s="409" t="n">
        <f aca="false">IF('APA Inputs'!$C$26="",0,(IF(AND(AX$4&gt;='APA Inputs'!$C$26,AX$4&lt;EDATE('APA Inputs'!$C$26,N('APA Inputs'!$D$26))),'APA Inputs'!$J$26,0)+IF(N('APA Inputs'!$H$26)&gt;0,IF(AX$4=EDATE('APA Inputs'!$C$26,'APA Inputs'!$H$26-1),N('APA Inputs'!$G$26),0),0))*IF('APA Inputs'!$I$26="",1,'APA Inputs'!$I$26))</f>
        <v>0</v>
      </c>
      <c r="AY11" s="409" t="n">
        <f aca="false">IF('APA Inputs'!$C$26="",0,(IF(AND(AY$4&gt;='APA Inputs'!$C$26,AY$4&lt;EDATE('APA Inputs'!$C$26,N('APA Inputs'!$D$26))),'APA Inputs'!$J$26,0)+IF(N('APA Inputs'!$H$26)&gt;0,IF(AY$4=EDATE('APA Inputs'!$C$26,'APA Inputs'!$H$26-1),N('APA Inputs'!$G$26),0),0))*IF('APA Inputs'!$I$26="",1,'APA Inputs'!$I$26))</f>
        <v>0</v>
      </c>
      <c r="AZ11" s="409" t="n">
        <f aca="false">IF('APA Inputs'!$C$26="",0,(IF(AND(AZ$4&gt;='APA Inputs'!$C$26,AZ$4&lt;EDATE('APA Inputs'!$C$26,N('APA Inputs'!$D$26))),'APA Inputs'!$J$26,0)+IF(N('APA Inputs'!$H$26)&gt;0,IF(AZ$4=EDATE('APA Inputs'!$C$26,'APA Inputs'!$H$26-1),N('APA Inputs'!$G$26),0),0))*IF('APA Inputs'!$I$26="",1,'APA Inputs'!$I$26))</f>
        <v>0</v>
      </c>
      <c r="BA11" s="409" t="n">
        <f aca="false">IF('APA Inputs'!$C$26="",0,(IF(AND(BA$4&gt;='APA Inputs'!$C$26,BA$4&lt;EDATE('APA Inputs'!$C$26,N('APA Inputs'!$D$26))),'APA Inputs'!$J$26,0)+IF(N('APA Inputs'!$H$26)&gt;0,IF(BA$4=EDATE('APA Inputs'!$C$26,'APA Inputs'!$H$26-1),N('APA Inputs'!$G$26),0),0))*IF('APA Inputs'!$I$26="",1,'APA Inputs'!$I$26))</f>
        <v>0</v>
      </c>
      <c r="BB11" s="409" t="n">
        <f aca="false">IF('APA Inputs'!$C$26="",0,(IF(AND(BB$4&gt;='APA Inputs'!$C$26,BB$4&lt;EDATE('APA Inputs'!$C$26,N('APA Inputs'!$D$26))),'APA Inputs'!$J$26,0)+IF(N('APA Inputs'!$H$26)&gt;0,IF(BB$4=EDATE('APA Inputs'!$C$26,'APA Inputs'!$H$26-1),N('APA Inputs'!$G$26),0),0))*IF('APA Inputs'!$I$26="",1,'APA Inputs'!$I$26))</f>
        <v>0</v>
      </c>
      <c r="BC11" s="409" t="n">
        <f aca="false">IF('APA Inputs'!$C$26="",0,(IF(AND(BC$4&gt;='APA Inputs'!$C$26,BC$4&lt;EDATE('APA Inputs'!$C$26,N('APA Inputs'!$D$26))),'APA Inputs'!$J$26,0)+IF(N('APA Inputs'!$H$26)&gt;0,IF(BC$4=EDATE('APA Inputs'!$C$26,'APA Inputs'!$H$26-1),N('APA Inputs'!$G$26),0),0))*IF('APA Inputs'!$I$26="",1,'APA Inputs'!$I$26))</f>
        <v>0</v>
      </c>
      <c r="BD11" s="409" t="n">
        <f aca="false">IF('APA Inputs'!$C$26="",0,(IF(AND(BD$4&gt;='APA Inputs'!$C$26,BD$4&lt;EDATE('APA Inputs'!$C$26,N('APA Inputs'!$D$26))),'APA Inputs'!$J$26,0)+IF(N('APA Inputs'!$H$26)&gt;0,IF(BD$4=EDATE('APA Inputs'!$C$26,'APA Inputs'!$H$26-1),N('APA Inputs'!$G$26),0),0))*IF('APA Inputs'!$I$26="",1,'APA Inputs'!$I$26))</f>
        <v>0</v>
      </c>
      <c r="BE11" s="409" t="n">
        <f aca="false">IF('APA Inputs'!$C$26="",0,(IF(AND(BE$4&gt;='APA Inputs'!$C$26,BE$4&lt;EDATE('APA Inputs'!$C$26,N('APA Inputs'!$D$26))),'APA Inputs'!$J$26,0)+IF(N('APA Inputs'!$H$26)&gt;0,IF(BE$4=EDATE('APA Inputs'!$C$26,'APA Inputs'!$H$26-1),N('APA Inputs'!$G$26),0),0))*IF('APA Inputs'!$I$26="",1,'APA Inputs'!$I$26))</f>
        <v>0</v>
      </c>
      <c r="BF11" s="409" t="n">
        <f aca="false">IF('APA Inputs'!$C$26="",0,(IF(AND(BF$4&gt;='APA Inputs'!$C$26,BF$4&lt;EDATE('APA Inputs'!$C$26,N('APA Inputs'!$D$26))),'APA Inputs'!$J$26,0)+IF(N('APA Inputs'!$H$26)&gt;0,IF(BF$4=EDATE('APA Inputs'!$C$26,'APA Inputs'!$H$26-1),N('APA Inputs'!$G$26),0),0))*IF('APA Inputs'!$I$26="",1,'APA Inputs'!$I$26))</f>
        <v>0</v>
      </c>
      <c r="BG11" s="409" t="n">
        <f aca="false">IF('APA Inputs'!$C$26="",0,(IF(AND(BG$4&gt;='APA Inputs'!$C$26,BG$4&lt;EDATE('APA Inputs'!$C$26,N('APA Inputs'!$D$26))),'APA Inputs'!$J$26,0)+IF(N('APA Inputs'!$H$26)&gt;0,IF(BG$4=EDATE('APA Inputs'!$C$26,'APA Inputs'!$H$26-1),N('APA Inputs'!$G$26),0),0))*IF('APA Inputs'!$I$26="",1,'APA Inputs'!$I$26))</f>
        <v>0</v>
      </c>
      <c r="BH11" s="409" t="n">
        <f aca="false">IF('APA Inputs'!$C$26="",0,(IF(AND(BH$4&gt;='APA Inputs'!$C$26,BH$4&lt;EDATE('APA Inputs'!$C$26,N('APA Inputs'!$D$26))),'APA Inputs'!$J$26,0)+IF(N('APA Inputs'!$H$26)&gt;0,IF(BH$4=EDATE('APA Inputs'!$C$26,'APA Inputs'!$H$26-1),N('APA Inputs'!$G$26),0),0))*IF('APA Inputs'!$I$26="",1,'APA Inputs'!$I$26))</f>
        <v>0</v>
      </c>
      <c r="BI11" s="409" t="n">
        <f aca="false">IF('APA Inputs'!$C$26="",0,(IF(AND(BI$4&gt;='APA Inputs'!$C$26,BI$4&lt;EDATE('APA Inputs'!$C$26,N('APA Inputs'!$D$26))),'APA Inputs'!$J$26,0)+IF(N('APA Inputs'!$H$26)&gt;0,IF(BI$4=EDATE('APA Inputs'!$C$26,'APA Inputs'!$H$26-1),N('APA Inputs'!$G$26),0),0))*IF('APA Inputs'!$I$26="",1,'APA Inputs'!$I$26))</f>
        <v>0</v>
      </c>
      <c r="BJ11" s="409" t="n">
        <f aca="false">IF('APA Inputs'!$C$26="",0,(IF(AND(BJ$4&gt;='APA Inputs'!$C$26,BJ$4&lt;EDATE('APA Inputs'!$C$26,N('APA Inputs'!$D$26))),'APA Inputs'!$J$26,0)+IF(N('APA Inputs'!$H$26)&gt;0,IF(BJ$4=EDATE('APA Inputs'!$C$26,'APA Inputs'!$H$26-1),N('APA Inputs'!$G$26),0),0))*IF('APA Inputs'!$I$26="",1,'APA Inputs'!$I$26))</f>
        <v>0</v>
      </c>
      <c r="BK11" s="409" t="n">
        <f aca="false">IF('APA Inputs'!$C$26="",0,(IF(AND(BK$4&gt;='APA Inputs'!$C$26,BK$4&lt;EDATE('APA Inputs'!$C$26,N('APA Inputs'!$D$26))),'APA Inputs'!$J$26,0)+IF(N('APA Inputs'!$H$26)&gt;0,IF(BK$4=EDATE('APA Inputs'!$C$26,'APA Inputs'!$H$26-1),N('APA Inputs'!$G$26),0),0))*IF('APA Inputs'!$I$26="",1,'APA Inputs'!$I$26))</f>
        <v>0</v>
      </c>
      <c r="BL11" s="409" t="n">
        <f aca="false">IF('APA Inputs'!$C$26="",0,(IF(AND(BL$4&gt;='APA Inputs'!$C$26,BL$4&lt;EDATE('APA Inputs'!$C$26,N('APA Inputs'!$D$26))),'APA Inputs'!$J$26,0)+IF(N('APA Inputs'!$H$26)&gt;0,IF(BL$4=EDATE('APA Inputs'!$C$26,'APA Inputs'!$H$26-1),N('APA Inputs'!$G$26),0),0))*IF('APA Inputs'!$I$26="",1,'APA Inputs'!$I$26))</f>
        <v>0</v>
      </c>
      <c r="BM11" s="409" t="n">
        <f aca="false">IF('APA Inputs'!$C$26="",0,(IF(AND(BM$4&gt;='APA Inputs'!$C$26,BM$4&lt;EDATE('APA Inputs'!$C$26,N('APA Inputs'!$D$26))),'APA Inputs'!$J$26,0)+IF(N('APA Inputs'!$H$26)&gt;0,IF(BM$4=EDATE('APA Inputs'!$C$26,'APA Inputs'!$H$26-1),N('APA Inputs'!$G$26),0),0))*IF('APA Inputs'!$I$26="",1,'APA Inputs'!$I$26))</f>
        <v>0</v>
      </c>
      <c r="BN11" s="409" t="n">
        <f aca="false">IF('APA Inputs'!$C$26="",0,(IF(AND(BN$4&gt;='APA Inputs'!$C$26,BN$4&lt;EDATE('APA Inputs'!$C$26,N('APA Inputs'!$D$26))),'APA Inputs'!$J$26,0)+IF(N('APA Inputs'!$H$26)&gt;0,IF(BN$4=EDATE('APA Inputs'!$C$26,'APA Inputs'!$H$26-1),N('APA Inputs'!$G$26),0),0))*IF('APA Inputs'!$I$26="",1,'APA Inputs'!$I$26))</f>
        <v>0</v>
      </c>
      <c r="BO11" s="409" t="n">
        <f aca="false">IF('APA Inputs'!$C$26="",0,(IF(AND(BO$4&gt;='APA Inputs'!$C$26,BO$4&lt;EDATE('APA Inputs'!$C$26,N('APA Inputs'!$D$26))),'APA Inputs'!$J$26,0)+IF(N('APA Inputs'!$H$26)&gt;0,IF(BO$4=EDATE('APA Inputs'!$C$26,'APA Inputs'!$H$26-1),N('APA Inputs'!$G$26),0),0))*IF('APA Inputs'!$I$26="",1,'APA Inputs'!$I$26))</f>
        <v>0</v>
      </c>
      <c r="BP11" s="409" t="n">
        <f aca="false">IF('APA Inputs'!$C$26="",0,(IF(AND(BP$4&gt;='APA Inputs'!$C$26,BP$4&lt;EDATE('APA Inputs'!$C$26,N('APA Inputs'!$D$26))),'APA Inputs'!$J$26,0)+IF(N('APA Inputs'!$H$26)&gt;0,IF(BP$4=EDATE('APA Inputs'!$C$26,'APA Inputs'!$H$26-1),N('APA Inputs'!$G$26),0),0))*IF('APA Inputs'!$I$26="",1,'APA Inputs'!$I$26))</f>
        <v>0</v>
      </c>
      <c r="BQ11" s="409" t="n">
        <f aca="false">IF('APA Inputs'!$C$26="",0,(IF(AND(BQ$4&gt;='APA Inputs'!$C$26,BQ$4&lt;EDATE('APA Inputs'!$C$26,N('APA Inputs'!$D$26))),'APA Inputs'!$J$26,0)+IF(N('APA Inputs'!$H$26)&gt;0,IF(BQ$4=EDATE('APA Inputs'!$C$26,'APA Inputs'!$H$26-1),N('APA Inputs'!$G$26),0),0))*IF('APA Inputs'!$I$26="",1,'APA Inputs'!$I$26))</f>
        <v>0</v>
      </c>
      <c r="BR11" s="409" t="n">
        <f aca="false">IF('APA Inputs'!$C$26="",0,(IF(AND(BR$4&gt;='APA Inputs'!$C$26,BR$4&lt;EDATE('APA Inputs'!$C$26,N('APA Inputs'!$D$26))),'APA Inputs'!$J$26,0)+IF(N('APA Inputs'!$H$26)&gt;0,IF(BR$4=EDATE('APA Inputs'!$C$26,'APA Inputs'!$H$26-1),N('APA Inputs'!$G$26),0),0))*IF('APA Inputs'!$I$26="",1,'APA Inputs'!$I$26))</f>
        <v>0</v>
      </c>
      <c r="BS11" s="409" t="n">
        <f aca="false">IF('APA Inputs'!$C$26="",0,(IF(AND(BS$4&gt;='APA Inputs'!$C$26,BS$4&lt;EDATE('APA Inputs'!$C$26,N('APA Inputs'!$D$26))),'APA Inputs'!$J$26,0)+IF(N('APA Inputs'!$H$26)&gt;0,IF(BS$4=EDATE('APA Inputs'!$C$26,'APA Inputs'!$H$26-1),N('APA Inputs'!$G$26),0),0))*IF('APA Inputs'!$I$26="",1,'APA Inputs'!$I$26))</f>
        <v>0</v>
      </c>
      <c r="BT11" s="409" t="n">
        <f aca="false">IF('APA Inputs'!$C$26="",0,(IF(AND(BT$4&gt;='APA Inputs'!$C$26,BT$4&lt;EDATE('APA Inputs'!$C$26,N('APA Inputs'!$D$26))),'APA Inputs'!$J$26,0)+IF(N('APA Inputs'!$H$26)&gt;0,IF(BT$4=EDATE('APA Inputs'!$C$26,'APA Inputs'!$H$26-1),N('APA Inputs'!$G$26),0),0))*IF('APA Inputs'!$I$26="",1,'APA Inputs'!$I$26))</f>
        <v>0</v>
      </c>
      <c r="BU11" s="409" t="n">
        <f aca="false">IF('APA Inputs'!$C$26="",0,(IF(AND(BU$4&gt;='APA Inputs'!$C$26,BU$4&lt;EDATE('APA Inputs'!$C$26,N('APA Inputs'!$D$26))),'APA Inputs'!$J$26,0)+IF(N('APA Inputs'!$H$26)&gt;0,IF(BU$4=EDATE('APA Inputs'!$C$26,'APA Inputs'!$H$26-1),N('APA Inputs'!$G$26),0),0))*IF('APA Inputs'!$I$26="",1,'APA Inputs'!$I$26))</f>
        <v>0</v>
      </c>
      <c r="BV11" s="409" t="n">
        <f aca="false">IF('APA Inputs'!$C$26="",0,(IF(AND(BV$4&gt;='APA Inputs'!$C$26,BV$4&lt;EDATE('APA Inputs'!$C$26,N('APA Inputs'!$D$26))),'APA Inputs'!$J$26,0)+IF(N('APA Inputs'!$H$26)&gt;0,IF(BV$4=EDATE('APA Inputs'!$C$26,'APA Inputs'!$H$26-1),N('APA Inputs'!$G$26),0),0))*IF('APA Inputs'!$I$26="",1,'APA Inputs'!$I$26))</f>
        <v>0</v>
      </c>
      <c r="BW11" s="409" t="n">
        <f aca="false">IF('APA Inputs'!$C$26="",0,(IF(AND(BW$4&gt;='APA Inputs'!$C$26,BW$4&lt;EDATE('APA Inputs'!$C$26,N('APA Inputs'!$D$26))),'APA Inputs'!$J$26,0)+IF(N('APA Inputs'!$H$26)&gt;0,IF(BW$4=EDATE('APA Inputs'!$C$26,'APA Inputs'!$H$26-1),N('APA Inputs'!$G$26),0),0))*IF('APA Inputs'!$I$26="",1,'APA Inputs'!$I$26))</f>
        <v>0</v>
      </c>
      <c r="BX11" s="409" t="n">
        <f aca="false">IF('APA Inputs'!$C$26="",0,(IF(AND(BX$4&gt;='APA Inputs'!$C$26,BX$4&lt;EDATE('APA Inputs'!$C$26,N('APA Inputs'!$D$26))),'APA Inputs'!$J$26,0)+IF(N('APA Inputs'!$H$26)&gt;0,IF(BX$4=EDATE('APA Inputs'!$C$26,'APA Inputs'!$H$26-1),N('APA Inputs'!$G$26),0),0))*IF('APA Inputs'!$I$26="",1,'APA Inputs'!$I$26))</f>
        <v>0</v>
      </c>
      <c r="BY11" s="409" t="n">
        <f aca="false">IF('APA Inputs'!$C$26="",0,(IF(AND(BY$4&gt;='APA Inputs'!$C$26,BY$4&lt;EDATE('APA Inputs'!$C$26,N('APA Inputs'!$D$26))),'APA Inputs'!$J$26,0)+IF(N('APA Inputs'!$H$26)&gt;0,IF(BY$4=EDATE('APA Inputs'!$C$26,'APA Inputs'!$H$26-1),N('APA Inputs'!$G$26),0),0))*IF('APA Inputs'!$I$26="",1,'APA Inputs'!$I$26))</f>
        <v>0</v>
      </c>
      <c r="BZ11" s="409" t="n">
        <f aca="false">IF('APA Inputs'!$C$26="",0,(IF(AND(BZ$4&gt;='APA Inputs'!$C$26,BZ$4&lt;EDATE('APA Inputs'!$C$26,N('APA Inputs'!$D$26))),'APA Inputs'!$J$26,0)+IF(N('APA Inputs'!$H$26)&gt;0,IF(BZ$4=EDATE('APA Inputs'!$C$26,'APA Inputs'!$H$26-1),N('APA Inputs'!$G$26),0),0))*IF('APA Inputs'!$I$26="",1,'APA Inputs'!$I$26))</f>
        <v>0</v>
      </c>
      <c r="CA11" s="409" t="n">
        <f aca="false">IF('APA Inputs'!$C$26="",0,(IF(AND(CA$4&gt;='APA Inputs'!$C$26,CA$4&lt;EDATE('APA Inputs'!$C$26,N('APA Inputs'!$D$26))),'APA Inputs'!$J$26,0)+IF(N('APA Inputs'!$H$26)&gt;0,IF(CA$4=EDATE('APA Inputs'!$C$26,'APA Inputs'!$H$26-1),N('APA Inputs'!$G$26),0),0))*IF('APA Inputs'!$I$26="",1,'APA Inputs'!$I$26))</f>
        <v>0</v>
      </c>
      <c r="CB11" s="409" t="n">
        <f aca="false">IF('APA Inputs'!$C$26="",0,(IF(AND(CB$4&gt;='APA Inputs'!$C$26,CB$4&lt;EDATE('APA Inputs'!$C$26,N('APA Inputs'!$D$26))),'APA Inputs'!$J$26,0)+IF(N('APA Inputs'!$H$26)&gt;0,IF(CB$4=EDATE('APA Inputs'!$C$26,'APA Inputs'!$H$26-1),N('APA Inputs'!$G$26),0),0))*IF('APA Inputs'!$I$26="",1,'APA Inputs'!$I$26))</f>
        <v>0</v>
      </c>
      <c r="CC11" s="409" t="n">
        <f aca="false">IF('APA Inputs'!$C$26="",0,(IF(AND(CC$4&gt;='APA Inputs'!$C$26,CC$4&lt;EDATE('APA Inputs'!$C$26,N('APA Inputs'!$D$26))),'APA Inputs'!$J$26,0)+IF(N('APA Inputs'!$H$26)&gt;0,IF(CC$4=EDATE('APA Inputs'!$C$26,'APA Inputs'!$H$26-1),N('APA Inputs'!$G$26),0),0))*IF('APA Inputs'!$I$26="",1,'APA Inputs'!$I$26))</f>
        <v>0</v>
      </c>
      <c r="CD11" s="409" t="n">
        <f aca="false">IF('APA Inputs'!$C$26="",0,(IF(AND(CD$4&gt;='APA Inputs'!$C$26,CD$4&lt;EDATE('APA Inputs'!$C$26,N('APA Inputs'!$D$26))),'APA Inputs'!$J$26,0)+IF(N('APA Inputs'!$H$26)&gt;0,IF(CD$4=EDATE('APA Inputs'!$C$26,'APA Inputs'!$H$26-1),N('APA Inputs'!$G$26),0),0))*IF('APA Inputs'!$I$26="",1,'APA Inputs'!$I$26))</f>
        <v>0</v>
      </c>
      <c r="CE11" s="409" t="n">
        <f aca="false">IF('APA Inputs'!$C$26="",0,(IF(AND(CE$4&gt;='APA Inputs'!$C$26,CE$4&lt;EDATE('APA Inputs'!$C$26,N('APA Inputs'!$D$26))),'APA Inputs'!$J$26,0)+IF(N('APA Inputs'!$H$26)&gt;0,IF(CE$4=EDATE('APA Inputs'!$C$26,'APA Inputs'!$H$26-1),N('APA Inputs'!$G$26),0),0))*IF('APA Inputs'!$I$26="",1,'APA Inputs'!$I$26))</f>
        <v>0</v>
      </c>
      <c r="CF11" s="409" t="n">
        <f aca="false">IF('APA Inputs'!$C$26="",0,(IF(AND(CF$4&gt;='APA Inputs'!$C$26,CF$4&lt;EDATE('APA Inputs'!$C$26,N('APA Inputs'!$D$26))),'APA Inputs'!$J$26,0)+IF(N('APA Inputs'!$H$26)&gt;0,IF(CF$4=EDATE('APA Inputs'!$C$26,'APA Inputs'!$H$26-1),N('APA Inputs'!$G$26),0),0))*IF('APA Inputs'!$I$26="",1,'APA Inputs'!$I$26))</f>
        <v>0</v>
      </c>
      <c r="CG11" s="409" t="n">
        <f aca="false">IF('APA Inputs'!$C$26="",0,(IF(AND(CG$4&gt;='APA Inputs'!$C$26,CG$4&lt;EDATE('APA Inputs'!$C$26,N('APA Inputs'!$D$26))),'APA Inputs'!$J$26,0)+IF(N('APA Inputs'!$H$26)&gt;0,IF(CG$4=EDATE('APA Inputs'!$C$26,'APA Inputs'!$H$26-1),N('APA Inputs'!$G$26),0),0))*IF('APA Inputs'!$I$26="",1,'APA Inputs'!$I$26))</f>
        <v>0</v>
      </c>
      <c r="CH11" s="409" t="n">
        <f aca="false">IF('APA Inputs'!$C$26="",0,(IF(AND(CH$4&gt;='APA Inputs'!$C$26,CH$4&lt;EDATE('APA Inputs'!$C$26,N('APA Inputs'!$D$26))),'APA Inputs'!$J$26,0)+IF(N('APA Inputs'!$H$26)&gt;0,IF(CH$4=EDATE('APA Inputs'!$C$26,'APA Inputs'!$H$26-1),N('APA Inputs'!$G$26),0),0))*IF('APA Inputs'!$I$26="",1,'APA Inputs'!$I$26))</f>
        <v>0</v>
      </c>
      <c r="CI11" s="409" t="n">
        <f aca="false">IF('APA Inputs'!$C$26="",0,(IF(AND(CI$4&gt;='APA Inputs'!$C$26,CI$4&lt;EDATE('APA Inputs'!$C$26,N('APA Inputs'!$D$26))),'APA Inputs'!$J$26,0)+IF(N('APA Inputs'!$H$26)&gt;0,IF(CI$4=EDATE('APA Inputs'!$C$26,'APA Inputs'!$H$26-1),N('APA Inputs'!$G$26),0),0))*IF('APA Inputs'!$I$26="",1,'APA Inputs'!$I$26))</f>
        <v>0</v>
      </c>
      <c r="CJ11" s="409" t="n">
        <f aca="false">IF('APA Inputs'!$C$26="",0,(IF(AND(CJ$4&gt;='APA Inputs'!$C$26,CJ$4&lt;EDATE('APA Inputs'!$C$26,N('APA Inputs'!$D$26))),'APA Inputs'!$J$26,0)+IF(N('APA Inputs'!$H$26)&gt;0,IF(CJ$4=EDATE('APA Inputs'!$C$26,'APA Inputs'!$H$26-1),N('APA Inputs'!$G$26),0),0))*IF('APA Inputs'!$I$26="",1,'APA Inputs'!$I$26))</f>
        <v>0</v>
      </c>
      <c r="CK11" s="409" t="n">
        <f aca="false">IF('APA Inputs'!$C$26="",0,(IF(AND(CK$4&gt;='APA Inputs'!$C$26,CK$4&lt;EDATE('APA Inputs'!$C$26,N('APA Inputs'!$D$26))),'APA Inputs'!$J$26,0)+IF(N('APA Inputs'!$H$26)&gt;0,IF(CK$4=EDATE('APA Inputs'!$C$26,'APA Inputs'!$H$26-1),N('APA Inputs'!$G$26),0),0))*IF('APA Inputs'!$I$26="",1,'APA Inputs'!$I$26))</f>
        <v>0</v>
      </c>
      <c r="CL11" s="409" t="n">
        <f aca="false">IF('APA Inputs'!$C$26="",0,(IF(AND(CL$4&gt;='APA Inputs'!$C$26,CL$4&lt;EDATE('APA Inputs'!$C$26,N('APA Inputs'!$D$26))),'APA Inputs'!$J$26,0)+IF(N('APA Inputs'!$H$26)&gt;0,IF(CL$4=EDATE('APA Inputs'!$C$26,'APA Inputs'!$H$26-1),N('APA Inputs'!$G$26),0),0))*IF('APA Inputs'!$I$26="",1,'APA Inputs'!$I$26))</f>
        <v>0</v>
      </c>
      <c r="CM11" s="409" t="n">
        <f aca="false">IF('APA Inputs'!$C$26="",0,(IF(AND(CM$4&gt;='APA Inputs'!$C$26,CM$4&lt;EDATE('APA Inputs'!$C$26,N('APA Inputs'!$D$26))),'APA Inputs'!$J$26,0)+IF(N('APA Inputs'!$H$26)&gt;0,IF(CM$4=EDATE('APA Inputs'!$C$26,'APA Inputs'!$H$26-1),N('APA Inputs'!$G$26),0),0))*IF('APA Inputs'!$I$26="",1,'APA Inputs'!$I$26))</f>
        <v>0</v>
      </c>
      <c r="CN11" s="409" t="n">
        <f aca="false">IF('APA Inputs'!$C$26="",0,(IF(AND(CN$4&gt;='APA Inputs'!$C$26,CN$4&lt;EDATE('APA Inputs'!$C$26,N('APA Inputs'!$D$26))),'APA Inputs'!$J$26,0)+IF(N('APA Inputs'!$H$26)&gt;0,IF(CN$4=EDATE('APA Inputs'!$C$26,'APA Inputs'!$H$26-1),N('APA Inputs'!$G$26),0),0))*IF('APA Inputs'!$I$26="",1,'APA Inputs'!$I$26))</f>
        <v>0</v>
      </c>
      <c r="CO11" s="409" t="n">
        <f aca="false">IF('APA Inputs'!$C$26="",0,(IF(AND(CO$4&gt;='APA Inputs'!$C$26,CO$4&lt;EDATE('APA Inputs'!$C$26,N('APA Inputs'!$D$26))),'APA Inputs'!$J$26,0)+IF(N('APA Inputs'!$H$26)&gt;0,IF(CO$4=EDATE('APA Inputs'!$C$26,'APA Inputs'!$H$26-1),N('APA Inputs'!$G$26),0),0))*IF('APA Inputs'!$I$26="",1,'APA Inputs'!$I$26))</f>
        <v>0</v>
      </c>
      <c r="CP11" s="409" t="n">
        <f aca="false">IF('APA Inputs'!$C$26="",0,(IF(AND(CP$4&gt;='APA Inputs'!$C$26,CP$4&lt;EDATE('APA Inputs'!$C$26,N('APA Inputs'!$D$26))),'APA Inputs'!$J$26,0)+IF(N('APA Inputs'!$H$26)&gt;0,IF(CP$4=EDATE('APA Inputs'!$C$26,'APA Inputs'!$H$26-1),N('APA Inputs'!$G$26),0),0))*IF('APA Inputs'!$I$26="",1,'APA Inputs'!$I$26))</f>
        <v>0</v>
      </c>
      <c r="CQ11" s="409" t="n">
        <f aca="false">IF('APA Inputs'!$C$26="",0,(IF(AND(CQ$4&gt;='APA Inputs'!$C$26,CQ$4&lt;EDATE('APA Inputs'!$C$26,N('APA Inputs'!$D$26))),'APA Inputs'!$J$26,0)+IF(N('APA Inputs'!$H$26)&gt;0,IF(CQ$4=EDATE('APA Inputs'!$C$26,'APA Inputs'!$H$26-1),N('APA Inputs'!$G$26),0),0))*IF('APA Inputs'!$I$26="",1,'APA Inputs'!$I$26))</f>
        <v>0</v>
      </c>
      <c r="CR11" s="409" t="n">
        <f aca="false">IF('APA Inputs'!$C$26="",0,(IF(AND(CR$4&gt;='APA Inputs'!$C$26,CR$4&lt;EDATE('APA Inputs'!$C$26,N('APA Inputs'!$D$26))),'APA Inputs'!$J$26,0)+IF(N('APA Inputs'!$H$26)&gt;0,IF(CR$4=EDATE('APA Inputs'!$C$26,'APA Inputs'!$H$26-1),N('APA Inputs'!$G$26),0),0))*IF('APA Inputs'!$I$26="",1,'APA Inputs'!$I$26))</f>
        <v>0</v>
      </c>
      <c r="CS11" s="409" t="n">
        <f aca="false">IF('APA Inputs'!$C$26="",0,(IF(AND(CS$4&gt;='APA Inputs'!$C$26,CS$4&lt;EDATE('APA Inputs'!$C$26,N('APA Inputs'!$D$26))),'APA Inputs'!$J$26,0)+IF(N('APA Inputs'!$H$26)&gt;0,IF(CS$4=EDATE('APA Inputs'!$C$26,'APA Inputs'!$H$26-1),N('APA Inputs'!$G$26),0),0))*IF('APA Inputs'!$I$26="",1,'APA Inputs'!$I$26))</f>
        <v>0</v>
      </c>
      <c r="CT11" s="409" t="n">
        <f aca="false">IF('APA Inputs'!$C$26="",0,(IF(AND(CT$4&gt;='APA Inputs'!$C$26,CT$4&lt;EDATE('APA Inputs'!$C$26,N('APA Inputs'!$D$26))),'APA Inputs'!$J$26,0)+IF(N('APA Inputs'!$H$26)&gt;0,IF(CT$4=EDATE('APA Inputs'!$C$26,'APA Inputs'!$H$26-1),N('APA Inputs'!$G$26),0),0))*IF('APA Inputs'!$I$26="",1,'APA Inputs'!$I$26))</f>
        <v>0</v>
      </c>
      <c r="CU11" s="409" t="n">
        <f aca="false">IF('APA Inputs'!$C$26="",0,(IF(AND(CU$4&gt;='APA Inputs'!$C$26,CU$4&lt;EDATE('APA Inputs'!$C$26,N('APA Inputs'!$D$26))),'APA Inputs'!$J$26,0)+IF(N('APA Inputs'!$H$26)&gt;0,IF(CU$4=EDATE('APA Inputs'!$C$26,'APA Inputs'!$H$26-1),N('APA Inputs'!$G$26),0),0))*IF('APA Inputs'!$I$26="",1,'APA Inputs'!$I$26))</f>
        <v>0</v>
      </c>
      <c r="CV11" s="409" t="n">
        <f aca="false">IF('APA Inputs'!$C$26="",0,(IF(AND(CV$4&gt;='APA Inputs'!$C$26,CV$4&lt;EDATE('APA Inputs'!$C$26,N('APA Inputs'!$D$26))),'APA Inputs'!$J$26,0)+IF(N('APA Inputs'!$H$26)&gt;0,IF(CV$4=EDATE('APA Inputs'!$C$26,'APA Inputs'!$H$26-1),N('APA Inputs'!$G$26),0),0))*IF('APA Inputs'!$I$26="",1,'APA Inputs'!$I$26))</f>
        <v>0</v>
      </c>
      <c r="CW11" s="409" t="n">
        <f aca="false">IF('APA Inputs'!$C$26="",0,(IF(AND(CW$4&gt;='APA Inputs'!$C$26,CW$4&lt;EDATE('APA Inputs'!$C$26,N('APA Inputs'!$D$26))),'APA Inputs'!$J$26,0)+IF(N('APA Inputs'!$H$26)&gt;0,IF(CW$4=EDATE('APA Inputs'!$C$26,'APA Inputs'!$H$26-1),N('APA Inputs'!$G$26),0),0))*IF('APA Inputs'!$I$26="",1,'APA Inputs'!$I$26))</f>
        <v>0</v>
      </c>
      <c r="CX11" s="409" t="n">
        <f aca="false">IF('APA Inputs'!$C$26="",0,(IF(AND(CX$4&gt;='APA Inputs'!$C$26,CX$4&lt;EDATE('APA Inputs'!$C$26,N('APA Inputs'!$D$26))),'APA Inputs'!$J$26,0)+IF(N('APA Inputs'!$H$26)&gt;0,IF(CX$4=EDATE('APA Inputs'!$C$26,'APA Inputs'!$H$26-1),N('APA Inputs'!$G$26),0),0))*IF('APA Inputs'!$I$26="",1,'APA Inputs'!$I$26))</f>
        <v>0</v>
      </c>
      <c r="CY11" s="409" t="n">
        <f aca="false">IF('APA Inputs'!$C$26="",0,(IF(AND(CY$4&gt;='APA Inputs'!$C$26,CY$4&lt;EDATE('APA Inputs'!$C$26,N('APA Inputs'!$D$26))),'APA Inputs'!$J$26,0)+IF(N('APA Inputs'!$H$26)&gt;0,IF(CY$4=EDATE('APA Inputs'!$C$26,'APA Inputs'!$H$26-1),N('APA Inputs'!$G$26),0),0))*IF('APA Inputs'!$I$26="",1,'APA Inputs'!$I$26))</f>
        <v>0</v>
      </c>
      <c r="CZ11" s="409" t="n">
        <f aca="false">IF('APA Inputs'!$C$26="",0,(IF(AND(CZ$4&gt;='APA Inputs'!$C$26,CZ$4&lt;EDATE('APA Inputs'!$C$26,N('APA Inputs'!$D$26))),'APA Inputs'!$J$26,0)+IF(N('APA Inputs'!$H$26)&gt;0,IF(CZ$4=EDATE('APA Inputs'!$C$26,'APA Inputs'!$H$26-1),N('APA Inputs'!$G$26),0),0))*IF('APA Inputs'!$I$26="",1,'APA Inputs'!$I$26))</f>
        <v>0</v>
      </c>
      <c r="DA11" s="409" t="n">
        <f aca="false">IF('APA Inputs'!$C$26="",0,(IF(AND(DA$4&gt;='APA Inputs'!$C$26,DA$4&lt;EDATE('APA Inputs'!$C$26,N('APA Inputs'!$D$26))),'APA Inputs'!$J$26,0)+IF(N('APA Inputs'!$H$26)&gt;0,IF(DA$4=EDATE('APA Inputs'!$C$26,'APA Inputs'!$H$26-1),N('APA Inputs'!$G$26),0),0))*IF('APA Inputs'!$I$26="",1,'APA Inputs'!$I$26))</f>
        <v>0</v>
      </c>
      <c r="DB11" s="409" t="n">
        <f aca="false">IF('APA Inputs'!$C$26="",0,(IF(AND(DB$4&gt;='APA Inputs'!$C$26,DB$4&lt;EDATE('APA Inputs'!$C$26,N('APA Inputs'!$D$26))),'APA Inputs'!$J$26,0)+IF(N('APA Inputs'!$H$26)&gt;0,IF(DB$4=EDATE('APA Inputs'!$C$26,'APA Inputs'!$H$26-1),N('APA Inputs'!$G$26),0),0))*IF('APA Inputs'!$I$26="",1,'APA Inputs'!$I$26))</f>
        <v>0</v>
      </c>
      <c r="DC11" s="409" t="n">
        <f aca="false">IF('APA Inputs'!$C$26="",0,(IF(AND(DC$4&gt;='APA Inputs'!$C$26,DC$4&lt;EDATE('APA Inputs'!$C$26,N('APA Inputs'!$D$26))),'APA Inputs'!$J$26,0)+IF(N('APA Inputs'!$H$26)&gt;0,IF(DC$4=EDATE('APA Inputs'!$C$26,'APA Inputs'!$H$26-1),N('APA Inputs'!$G$26),0),0))*IF('APA Inputs'!$I$26="",1,'APA Inputs'!$I$26))</f>
        <v>0</v>
      </c>
      <c r="DD11" s="409" t="n">
        <f aca="false">IF('APA Inputs'!$C$26="",0,(IF(AND(DD$4&gt;='APA Inputs'!$C$26,DD$4&lt;EDATE('APA Inputs'!$C$26,N('APA Inputs'!$D$26))),'APA Inputs'!$J$26,0)+IF(N('APA Inputs'!$H$26)&gt;0,IF(DD$4=EDATE('APA Inputs'!$C$26,'APA Inputs'!$H$26-1),N('APA Inputs'!$G$26),0),0))*IF('APA Inputs'!$I$26="",1,'APA Inputs'!$I$26))</f>
        <v>0</v>
      </c>
      <c r="DE11" s="40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09" t="n">
        <f aca="false">IF('APA Inputs'!$C$27="",0,(IF(AND(B$4&gt;='APA Inputs'!$C$27,B$4&lt;EDATE('APA Inputs'!$C$27,N('APA Inputs'!$D$27))),'APA Inputs'!$J$27,0)+IF(N('APA Inputs'!$H$27)&gt;0,IF(B$4=EDATE('APA Inputs'!$C$27,'APA Inputs'!$H$27-1),N('APA Inputs'!$G$27),0),0))*IF('APA Inputs'!$I$27="",1,'APA Inputs'!$I$27))</f>
        <v>0</v>
      </c>
      <c r="C12" s="409" t="n">
        <f aca="false">IF('APA Inputs'!$C$27="",0,(IF(AND(C$4&gt;='APA Inputs'!$C$27,C$4&lt;EDATE('APA Inputs'!$C$27,N('APA Inputs'!$D$27))),'APA Inputs'!$J$27,0)+IF(N('APA Inputs'!$H$27)&gt;0,IF(C$4=EDATE('APA Inputs'!$C$27,'APA Inputs'!$H$27-1),N('APA Inputs'!$G$27),0),0))*IF('APA Inputs'!$I$27="",1,'APA Inputs'!$I$27))</f>
        <v>0</v>
      </c>
      <c r="D12" s="409" t="n">
        <f aca="false">IF('APA Inputs'!$C$27="",0,(IF(AND(D$4&gt;='APA Inputs'!$C$27,D$4&lt;EDATE('APA Inputs'!$C$27,N('APA Inputs'!$D$27))),'APA Inputs'!$J$27,0)+IF(N('APA Inputs'!$H$27)&gt;0,IF(D$4=EDATE('APA Inputs'!$C$27,'APA Inputs'!$H$27-1),N('APA Inputs'!$G$27),0),0))*IF('APA Inputs'!$I$27="",1,'APA Inputs'!$I$27))</f>
        <v>0</v>
      </c>
      <c r="E12" s="409" t="n">
        <f aca="false">IF('APA Inputs'!$C$27="",0,(IF(AND(E$4&gt;='APA Inputs'!$C$27,E$4&lt;EDATE('APA Inputs'!$C$27,N('APA Inputs'!$D$27))),'APA Inputs'!$J$27,0)+IF(N('APA Inputs'!$H$27)&gt;0,IF(E$4=EDATE('APA Inputs'!$C$27,'APA Inputs'!$H$27-1),N('APA Inputs'!$G$27),0),0))*IF('APA Inputs'!$I$27="",1,'APA Inputs'!$I$27))</f>
        <v>0</v>
      </c>
      <c r="F12" s="409" t="n">
        <f aca="false">IF('APA Inputs'!$C$27="",0,(IF(AND(F$4&gt;='APA Inputs'!$C$27,F$4&lt;EDATE('APA Inputs'!$C$27,N('APA Inputs'!$D$27))),'APA Inputs'!$J$27,0)+IF(N('APA Inputs'!$H$27)&gt;0,IF(F$4=EDATE('APA Inputs'!$C$27,'APA Inputs'!$H$27-1),N('APA Inputs'!$G$27),0),0))*IF('APA Inputs'!$I$27="",1,'APA Inputs'!$I$27))</f>
        <v>0</v>
      </c>
      <c r="G12" s="409" t="n">
        <f aca="false">IF('APA Inputs'!$C$27="",0,(IF(AND(G$4&gt;='APA Inputs'!$C$27,G$4&lt;EDATE('APA Inputs'!$C$27,N('APA Inputs'!$D$27))),'APA Inputs'!$J$27,0)+IF(N('APA Inputs'!$H$27)&gt;0,IF(G$4=EDATE('APA Inputs'!$C$27,'APA Inputs'!$H$27-1),N('APA Inputs'!$G$27),0),0))*IF('APA Inputs'!$I$27="",1,'APA Inputs'!$I$27))</f>
        <v>0</v>
      </c>
      <c r="H12" s="409" t="n">
        <f aca="false">IF('APA Inputs'!$C$27="",0,(IF(AND(H$4&gt;='APA Inputs'!$C$27,H$4&lt;EDATE('APA Inputs'!$C$27,N('APA Inputs'!$D$27))),'APA Inputs'!$J$27,0)+IF(N('APA Inputs'!$H$27)&gt;0,IF(H$4=EDATE('APA Inputs'!$C$27,'APA Inputs'!$H$27-1),N('APA Inputs'!$G$27),0),0))*IF('APA Inputs'!$I$27="",1,'APA Inputs'!$I$27))</f>
        <v>0</v>
      </c>
      <c r="I12" s="409" t="n">
        <f aca="false">IF('APA Inputs'!$C$27="",0,(IF(AND(I$4&gt;='APA Inputs'!$C$27,I$4&lt;EDATE('APA Inputs'!$C$27,N('APA Inputs'!$D$27))),'APA Inputs'!$J$27,0)+IF(N('APA Inputs'!$H$27)&gt;0,IF(I$4=EDATE('APA Inputs'!$C$27,'APA Inputs'!$H$27-1),N('APA Inputs'!$G$27),0),0))*IF('APA Inputs'!$I$27="",1,'APA Inputs'!$I$27))</f>
        <v>0</v>
      </c>
      <c r="J12" s="409" t="n">
        <f aca="false">IF('APA Inputs'!$C$27="",0,(IF(AND(J$4&gt;='APA Inputs'!$C$27,J$4&lt;EDATE('APA Inputs'!$C$27,N('APA Inputs'!$D$27))),'APA Inputs'!$J$27,0)+IF(N('APA Inputs'!$H$27)&gt;0,IF(J$4=EDATE('APA Inputs'!$C$27,'APA Inputs'!$H$27-1),N('APA Inputs'!$G$27),0),0))*IF('APA Inputs'!$I$27="",1,'APA Inputs'!$I$27))</f>
        <v>0</v>
      </c>
      <c r="K12" s="409" t="n">
        <f aca="false">IF('APA Inputs'!$C$27="",0,(IF(AND(K$4&gt;='APA Inputs'!$C$27,K$4&lt;EDATE('APA Inputs'!$C$27,N('APA Inputs'!$D$27))),'APA Inputs'!$J$27,0)+IF(N('APA Inputs'!$H$27)&gt;0,IF(K$4=EDATE('APA Inputs'!$C$27,'APA Inputs'!$H$27-1),N('APA Inputs'!$G$27),0),0))*IF('APA Inputs'!$I$27="",1,'APA Inputs'!$I$27))</f>
        <v>0</v>
      </c>
      <c r="L12" s="409" t="n">
        <f aca="false">IF('APA Inputs'!$C$27="",0,(IF(AND(L$4&gt;='APA Inputs'!$C$27,L$4&lt;EDATE('APA Inputs'!$C$27,N('APA Inputs'!$D$27))),'APA Inputs'!$J$27,0)+IF(N('APA Inputs'!$H$27)&gt;0,IF(L$4=EDATE('APA Inputs'!$C$27,'APA Inputs'!$H$27-1),N('APA Inputs'!$G$27),0),0))*IF('APA Inputs'!$I$27="",1,'APA Inputs'!$I$27))</f>
        <v>0</v>
      </c>
      <c r="M12" s="409" t="n">
        <f aca="false">IF('APA Inputs'!$C$27="",0,(IF(AND(M$4&gt;='APA Inputs'!$C$27,M$4&lt;EDATE('APA Inputs'!$C$27,N('APA Inputs'!$D$27))),'APA Inputs'!$J$27,0)+IF(N('APA Inputs'!$H$27)&gt;0,IF(M$4=EDATE('APA Inputs'!$C$27,'APA Inputs'!$H$27-1),N('APA Inputs'!$G$27),0),0))*IF('APA Inputs'!$I$27="",1,'APA Inputs'!$I$27))</f>
        <v>0</v>
      </c>
      <c r="N12" s="409" t="n">
        <f aca="false">IF('APA Inputs'!$C$27="",0,(IF(AND(N$4&gt;='APA Inputs'!$C$27,N$4&lt;EDATE('APA Inputs'!$C$27,N('APA Inputs'!$D$27))),'APA Inputs'!$J$27,0)+IF(N('APA Inputs'!$H$27)&gt;0,IF(N$4=EDATE('APA Inputs'!$C$27,'APA Inputs'!$H$27-1),N('APA Inputs'!$G$27),0),0))*IF('APA Inputs'!$I$27="",1,'APA Inputs'!$I$27))</f>
        <v>0</v>
      </c>
      <c r="O12" s="409" t="n">
        <f aca="false">IF('APA Inputs'!$C$27="",0,(IF(AND(O$4&gt;='APA Inputs'!$C$27,O$4&lt;EDATE('APA Inputs'!$C$27,N('APA Inputs'!$D$27))),'APA Inputs'!$J$27,0)+IF(N('APA Inputs'!$H$27)&gt;0,IF(O$4=EDATE('APA Inputs'!$C$27,'APA Inputs'!$H$27-1),N('APA Inputs'!$G$27),0),0))*IF('APA Inputs'!$I$27="",1,'APA Inputs'!$I$27))</f>
        <v>0</v>
      </c>
      <c r="P12" s="409" t="n">
        <f aca="false">IF('APA Inputs'!$C$27="",0,(IF(AND(P$4&gt;='APA Inputs'!$C$27,P$4&lt;EDATE('APA Inputs'!$C$27,N('APA Inputs'!$D$27))),'APA Inputs'!$J$27,0)+IF(N('APA Inputs'!$H$27)&gt;0,IF(P$4=EDATE('APA Inputs'!$C$27,'APA Inputs'!$H$27-1),N('APA Inputs'!$G$27),0),0))*IF('APA Inputs'!$I$27="",1,'APA Inputs'!$I$27))</f>
        <v>0</v>
      </c>
      <c r="Q12" s="409" t="n">
        <f aca="false">IF('APA Inputs'!$C$27="",0,(IF(AND(Q$4&gt;='APA Inputs'!$C$27,Q$4&lt;EDATE('APA Inputs'!$C$27,N('APA Inputs'!$D$27))),'APA Inputs'!$J$27,0)+IF(N('APA Inputs'!$H$27)&gt;0,IF(Q$4=EDATE('APA Inputs'!$C$27,'APA Inputs'!$H$27-1),N('APA Inputs'!$G$27),0),0))*IF('APA Inputs'!$I$27="",1,'APA Inputs'!$I$27))</f>
        <v>0</v>
      </c>
      <c r="R12" s="409" t="n">
        <f aca="false">IF('APA Inputs'!$C$27="",0,(IF(AND(R$4&gt;='APA Inputs'!$C$27,R$4&lt;EDATE('APA Inputs'!$C$27,N('APA Inputs'!$D$27))),'APA Inputs'!$J$27,0)+IF(N('APA Inputs'!$H$27)&gt;0,IF(R$4=EDATE('APA Inputs'!$C$27,'APA Inputs'!$H$27-1),N('APA Inputs'!$G$27),0),0))*IF('APA Inputs'!$I$27="",1,'APA Inputs'!$I$27))</f>
        <v>0</v>
      </c>
      <c r="S12" s="409" t="n">
        <f aca="false">IF('APA Inputs'!$C$27="",0,(IF(AND(S$4&gt;='APA Inputs'!$C$27,S$4&lt;EDATE('APA Inputs'!$C$27,N('APA Inputs'!$D$27))),'APA Inputs'!$J$27,0)+IF(N('APA Inputs'!$H$27)&gt;0,IF(S$4=EDATE('APA Inputs'!$C$27,'APA Inputs'!$H$27-1),N('APA Inputs'!$G$27),0),0))*IF('APA Inputs'!$I$27="",1,'APA Inputs'!$I$27))</f>
        <v>0</v>
      </c>
      <c r="T12" s="409" t="n">
        <f aca="false">IF('APA Inputs'!$C$27="",0,(IF(AND(T$4&gt;='APA Inputs'!$C$27,T$4&lt;EDATE('APA Inputs'!$C$27,N('APA Inputs'!$D$27))),'APA Inputs'!$J$27,0)+IF(N('APA Inputs'!$H$27)&gt;0,IF(T$4=EDATE('APA Inputs'!$C$27,'APA Inputs'!$H$27-1),N('APA Inputs'!$G$27),0),0))*IF('APA Inputs'!$I$27="",1,'APA Inputs'!$I$27))</f>
        <v>0</v>
      </c>
      <c r="U12" s="409" t="n">
        <f aca="false">IF('APA Inputs'!$C$27="",0,(IF(AND(U$4&gt;='APA Inputs'!$C$27,U$4&lt;EDATE('APA Inputs'!$C$27,N('APA Inputs'!$D$27))),'APA Inputs'!$J$27,0)+IF(N('APA Inputs'!$H$27)&gt;0,IF(U$4=EDATE('APA Inputs'!$C$27,'APA Inputs'!$H$27-1),N('APA Inputs'!$G$27),0),0))*IF('APA Inputs'!$I$27="",1,'APA Inputs'!$I$27))</f>
        <v>0</v>
      </c>
      <c r="V12" s="409" t="n">
        <f aca="false">IF('APA Inputs'!$C$27="",0,(IF(AND(V$4&gt;='APA Inputs'!$C$27,V$4&lt;EDATE('APA Inputs'!$C$27,N('APA Inputs'!$D$27))),'APA Inputs'!$J$27,0)+IF(N('APA Inputs'!$H$27)&gt;0,IF(V$4=EDATE('APA Inputs'!$C$27,'APA Inputs'!$H$27-1),N('APA Inputs'!$G$27),0),0))*IF('APA Inputs'!$I$27="",1,'APA Inputs'!$I$27))</f>
        <v>0</v>
      </c>
      <c r="W12" s="409" t="n">
        <f aca="false">IF('APA Inputs'!$C$27="",0,(IF(AND(W$4&gt;='APA Inputs'!$C$27,W$4&lt;EDATE('APA Inputs'!$C$27,N('APA Inputs'!$D$27))),'APA Inputs'!$J$27,0)+IF(N('APA Inputs'!$H$27)&gt;0,IF(W$4=EDATE('APA Inputs'!$C$27,'APA Inputs'!$H$27-1),N('APA Inputs'!$G$27),0),0))*IF('APA Inputs'!$I$27="",1,'APA Inputs'!$I$27))</f>
        <v>0</v>
      </c>
      <c r="X12" s="409" t="n">
        <f aca="false">IF('APA Inputs'!$C$27="",0,(IF(AND(X$4&gt;='APA Inputs'!$C$27,X$4&lt;EDATE('APA Inputs'!$C$27,N('APA Inputs'!$D$27))),'APA Inputs'!$J$27,0)+IF(N('APA Inputs'!$H$27)&gt;0,IF(X$4=EDATE('APA Inputs'!$C$27,'APA Inputs'!$H$27-1),N('APA Inputs'!$G$27),0),0))*IF('APA Inputs'!$I$27="",1,'APA Inputs'!$I$27))</f>
        <v>0</v>
      </c>
      <c r="Y12" s="409" t="n">
        <f aca="false">IF('APA Inputs'!$C$27="",0,(IF(AND(Y$4&gt;='APA Inputs'!$C$27,Y$4&lt;EDATE('APA Inputs'!$C$27,N('APA Inputs'!$D$27))),'APA Inputs'!$J$27,0)+IF(N('APA Inputs'!$H$27)&gt;0,IF(Y$4=EDATE('APA Inputs'!$C$27,'APA Inputs'!$H$27-1),N('APA Inputs'!$G$27),0),0))*IF('APA Inputs'!$I$27="",1,'APA Inputs'!$I$27))</f>
        <v>0</v>
      </c>
      <c r="Z12" s="409" t="n">
        <f aca="false">IF('APA Inputs'!$C$27="",0,(IF(AND(Z$4&gt;='APA Inputs'!$C$27,Z$4&lt;EDATE('APA Inputs'!$C$27,N('APA Inputs'!$D$27))),'APA Inputs'!$J$27,0)+IF(N('APA Inputs'!$H$27)&gt;0,IF(Z$4=EDATE('APA Inputs'!$C$27,'APA Inputs'!$H$27-1),N('APA Inputs'!$G$27),0),0))*IF('APA Inputs'!$I$27="",1,'APA Inputs'!$I$27))</f>
        <v>0</v>
      </c>
      <c r="AA12" s="409" t="n">
        <f aca="false">IF('APA Inputs'!$C$27="",0,(IF(AND(AA$4&gt;='APA Inputs'!$C$27,AA$4&lt;EDATE('APA Inputs'!$C$27,N('APA Inputs'!$D$27))),'APA Inputs'!$J$27,0)+IF(N('APA Inputs'!$H$27)&gt;0,IF(AA$4=EDATE('APA Inputs'!$C$27,'APA Inputs'!$H$27-1),N('APA Inputs'!$G$27),0),0))*IF('APA Inputs'!$I$27="",1,'APA Inputs'!$I$27))</f>
        <v>0</v>
      </c>
      <c r="AB12" s="409" t="n">
        <f aca="false">IF('APA Inputs'!$C$27="",0,(IF(AND(AB$4&gt;='APA Inputs'!$C$27,AB$4&lt;EDATE('APA Inputs'!$C$27,N('APA Inputs'!$D$27))),'APA Inputs'!$J$27,0)+IF(N('APA Inputs'!$H$27)&gt;0,IF(AB$4=EDATE('APA Inputs'!$C$27,'APA Inputs'!$H$27-1),N('APA Inputs'!$G$27),0),0))*IF('APA Inputs'!$I$27="",1,'APA Inputs'!$I$27))</f>
        <v>0</v>
      </c>
      <c r="AC12" s="409" t="n">
        <f aca="false">IF('APA Inputs'!$C$27="",0,(IF(AND(AC$4&gt;='APA Inputs'!$C$27,AC$4&lt;EDATE('APA Inputs'!$C$27,N('APA Inputs'!$D$27))),'APA Inputs'!$J$27,0)+IF(N('APA Inputs'!$H$27)&gt;0,IF(AC$4=EDATE('APA Inputs'!$C$27,'APA Inputs'!$H$27-1),N('APA Inputs'!$G$27),0),0))*IF('APA Inputs'!$I$27="",1,'APA Inputs'!$I$27))</f>
        <v>0</v>
      </c>
      <c r="AD12" s="409" t="n">
        <f aca="false">IF('APA Inputs'!$C$27="",0,(IF(AND(AD$4&gt;='APA Inputs'!$C$27,AD$4&lt;EDATE('APA Inputs'!$C$27,N('APA Inputs'!$D$27))),'APA Inputs'!$J$27,0)+IF(N('APA Inputs'!$H$27)&gt;0,IF(AD$4=EDATE('APA Inputs'!$C$27,'APA Inputs'!$H$27-1),N('APA Inputs'!$G$27),0),0))*IF('APA Inputs'!$I$27="",1,'APA Inputs'!$I$27))</f>
        <v>0</v>
      </c>
      <c r="AE12" s="409" t="n">
        <f aca="false">IF('APA Inputs'!$C$27="",0,(IF(AND(AE$4&gt;='APA Inputs'!$C$27,AE$4&lt;EDATE('APA Inputs'!$C$27,N('APA Inputs'!$D$27))),'APA Inputs'!$J$27,0)+IF(N('APA Inputs'!$H$27)&gt;0,IF(AE$4=EDATE('APA Inputs'!$C$27,'APA Inputs'!$H$27-1),N('APA Inputs'!$G$27),0),0))*IF('APA Inputs'!$I$27="",1,'APA Inputs'!$I$27))</f>
        <v>0</v>
      </c>
      <c r="AF12" s="409" t="n">
        <f aca="false">IF('APA Inputs'!$C$27="",0,(IF(AND(AF$4&gt;='APA Inputs'!$C$27,AF$4&lt;EDATE('APA Inputs'!$C$27,N('APA Inputs'!$D$27))),'APA Inputs'!$J$27,0)+IF(N('APA Inputs'!$H$27)&gt;0,IF(AF$4=EDATE('APA Inputs'!$C$27,'APA Inputs'!$H$27-1),N('APA Inputs'!$G$27),0),0))*IF('APA Inputs'!$I$27="",1,'APA Inputs'!$I$27))</f>
        <v>0</v>
      </c>
      <c r="AG12" s="409" t="n">
        <f aca="false">IF('APA Inputs'!$C$27="",0,(IF(AND(AG$4&gt;='APA Inputs'!$C$27,AG$4&lt;EDATE('APA Inputs'!$C$27,N('APA Inputs'!$D$27))),'APA Inputs'!$J$27,0)+IF(N('APA Inputs'!$H$27)&gt;0,IF(AG$4=EDATE('APA Inputs'!$C$27,'APA Inputs'!$H$27-1),N('APA Inputs'!$G$27),0),0))*IF('APA Inputs'!$I$27="",1,'APA Inputs'!$I$27))</f>
        <v>0</v>
      </c>
      <c r="AH12" s="409" t="n">
        <f aca="false">IF('APA Inputs'!$C$27="",0,(IF(AND(AH$4&gt;='APA Inputs'!$C$27,AH$4&lt;EDATE('APA Inputs'!$C$27,N('APA Inputs'!$D$27))),'APA Inputs'!$J$27,0)+IF(N('APA Inputs'!$H$27)&gt;0,IF(AH$4=EDATE('APA Inputs'!$C$27,'APA Inputs'!$H$27-1),N('APA Inputs'!$G$27),0),0))*IF('APA Inputs'!$I$27="",1,'APA Inputs'!$I$27))</f>
        <v>0</v>
      </c>
      <c r="AI12" s="409" t="n">
        <f aca="false">IF('APA Inputs'!$C$27="",0,(IF(AND(AI$4&gt;='APA Inputs'!$C$27,AI$4&lt;EDATE('APA Inputs'!$C$27,N('APA Inputs'!$D$27))),'APA Inputs'!$J$27,0)+IF(N('APA Inputs'!$H$27)&gt;0,IF(AI$4=EDATE('APA Inputs'!$C$27,'APA Inputs'!$H$27-1),N('APA Inputs'!$G$27),0),0))*IF('APA Inputs'!$I$27="",1,'APA Inputs'!$I$27))</f>
        <v>0</v>
      </c>
      <c r="AJ12" s="409" t="n">
        <f aca="false">IF('APA Inputs'!$C$27="",0,(IF(AND(AJ$4&gt;='APA Inputs'!$C$27,AJ$4&lt;EDATE('APA Inputs'!$C$27,N('APA Inputs'!$D$27))),'APA Inputs'!$J$27,0)+IF(N('APA Inputs'!$H$27)&gt;0,IF(AJ$4=EDATE('APA Inputs'!$C$27,'APA Inputs'!$H$27-1),N('APA Inputs'!$G$27),0),0))*IF('APA Inputs'!$I$27="",1,'APA Inputs'!$I$27))</f>
        <v>0</v>
      </c>
      <c r="AK12" s="409" t="n">
        <f aca="false">IF('APA Inputs'!$C$27="",0,(IF(AND(AK$4&gt;='APA Inputs'!$C$27,AK$4&lt;EDATE('APA Inputs'!$C$27,N('APA Inputs'!$D$27))),'APA Inputs'!$J$27,0)+IF(N('APA Inputs'!$H$27)&gt;0,IF(AK$4=EDATE('APA Inputs'!$C$27,'APA Inputs'!$H$27-1),N('APA Inputs'!$G$27),0),0))*IF('APA Inputs'!$I$27="",1,'APA Inputs'!$I$27))</f>
        <v>0</v>
      </c>
      <c r="AL12" s="409" t="n">
        <f aca="false">IF('APA Inputs'!$C$27="",0,(IF(AND(AL$4&gt;='APA Inputs'!$C$27,AL$4&lt;EDATE('APA Inputs'!$C$27,N('APA Inputs'!$D$27))),'APA Inputs'!$J$27,0)+IF(N('APA Inputs'!$H$27)&gt;0,IF(AL$4=EDATE('APA Inputs'!$C$27,'APA Inputs'!$H$27-1),N('APA Inputs'!$G$27),0),0))*IF('APA Inputs'!$I$27="",1,'APA Inputs'!$I$27))</f>
        <v>0</v>
      </c>
      <c r="AM12" s="409" t="n">
        <f aca="false">IF('APA Inputs'!$C$27="",0,(IF(AND(AM$4&gt;='APA Inputs'!$C$27,AM$4&lt;EDATE('APA Inputs'!$C$27,N('APA Inputs'!$D$27))),'APA Inputs'!$J$27,0)+IF(N('APA Inputs'!$H$27)&gt;0,IF(AM$4=EDATE('APA Inputs'!$C$27,'APA Inputs'!$H$27-1),N('APA Inputs'!$G$27),0),0))*IF('APA Inputs'!$I$27="",1,'APA Inputs'!$I$27))</f>
        <v>0</v>
      </c>
      <c r="AN12" s="409" t="n">
        <f aca="false">IF('APA Inputs'!$C$27="",0,(IF(AND(AN$4&gt;='APA Inputs'!$C$27,AN$4&lt;EDATE('APA Inputs'!$C$27,N('APA Inputs'!$D$27))),'APA Inputs'!$J$27,0)+IF(N('APA Inputs'!$H$27)&gt;0,IF(AN$4=EDATE('APA Inputs'!$C$27,'APA Inputs'!$H$27-1),N('APA Inputs'!$G$27),0),0))*IF('APA Inputs'!$I$27="",1,'APA Inputs'!$I$27))</f>
        <v>0</v>
      </c>
      <c r="AO12" s="409" t="n">
        <f aca="false">IF('APA Inputs'!$C$27="",0,(IF(AND(AO$4&gt;='APA Inputs'!$C$27,AO$4&lt;EDATE('APA Inputs'!$C$27,N('APA Inputs'!$D$27))),'APA Inputs'!$J$27,0)+IF(N('APA Inputs'!$H$27)&gt;0,IF(AO$4=EDATE('APA Inputs'!$C$27,'APA Inputs'!$H$27-1),N('APA Inputs'!$G$27),0),0))*IF('APA Inputs'!$I$27="",1,'APA Inputs'!$I$27))</f>
        <v>0</v>
      </c>
      <c r="AP12" s="409" t="n">
        <f aca="false">IF('APA Inputs'!$C$27="",0,(IF(AND(AP$4&gt;='APA Inputs'!$C$27,AP$4&lt;EDATE('APA Inputs'!$C$27,N('APA Inputs'!$D$27))),'APA Inputs'!$J$27,0)+IF(N('APA Inputs'!$H$27)&gt;0,IF(AP$4=EDATE('APA Inputs'!$C$27,'APA Inputs'!$H$27-1),N('APA Inputs'!$G$27),0),0))*IF('APA Inputs'!$I$27="",1,'APA Inputs'!$I$27))</f>
        <v>0</v>
      </c>
      <c r="AQ12" s="409" t="n">
        <f aca="false">IF('APA Inputs'!$C$27="",0,(IF(AND(AQ$4&gt;='APA Inputs'!$C$27,AQ$4&lt;EDATE('APA Inputs'!$C$27,N('APA Inputs'!$D$27))),'APA Inputs'!$J$27,0)+IF(N('APA Inputs'!$H$27)&gt;0,IF(AQ$4=EDATE('APA Inputs'!$C$27,'APA Inputs'!$H$27-1),N('APA Inputs'!$G$27),0),0))*IF('APA Inputs'!$I$27="",1,'APA Inputs'!$I$27))</f>
        <v>0</v>
      </c>
      <c r="AR12" s="409" t="n">
        <f aca="false">IF('APA Inputs'!$C$27="",0,(IF(AND(AR$4&gt;='APA Inputs'!$C$27,AR$4&lt;EDATE('APA Inputs'!$C$27,N('APA Inputs'!$D$27))),'APA Inputs'!$J$27,0)+IF(N('APA Inputs'!$H$27)&gt;0,IF(AR$4=EDATE('APA Inputs'!$C$27,'APA Inputs'!$H$27-1),N('APA Inputs'!$G$27),0),0))*IF('APA Inputs'!$I$27="",1,'APA Inputs'!$I$27))</f>
        <v>0</v>
      </c>
      <c r="AS12" s="409" t="n">
        <f aca="false">IF('APA Inputs'!$C$27="",0,(IF(AND(AS$4&gt;='APA Inputs'!$C$27,AS$4&lt;EDATE('APA Inputs'!$C$27,N('APA Inputs'!$D$27))),'APA Inputs'!$J$27,0)+IF(N('APA Inputs'!$H$27)&gt;0,IF(AS$4=EDATE('APA Inputs'!$C$27,'APA Inputs'!$H$27-1),N('APA Inputs'!$G$27),0),0))*IF('APA Inputs'!$I$27="",1,'APA Inputs'!$I$27))</f>
        <v>0</v>
      </c>
      <c r="AT12" s="409" t="n">
        <f aca="false">IF('APA Inputs'!$C$27="",0,(IF(AND(AT$4&gt;='APA Inputs'!$C$27,AT$4&lt;EDATE('APA Inputs'!$C$27,N('APA Inputs'!$D$27))),'APA Inputs'!$J$27,0)+IF(N('APA Inputs'!$H$27)&gt;0,IF(AT$4=EDATE('APA Inputs'!$C$27,'APA Inputs'!$H$27-1),N('APA Inputs'!$G$27),0),0))*IF('APA Inputs'!$I$27="",1,'APA Inputs'!$I$27))</f>
        <v>0</v>
      </c>
      <c r="AU12" s="409" t="n">
        <f aca="false">IF('APA Inputs'!$C$27="",0,(IF(AND(AU$4&gt;='APA Inputs'!$C$27,AU$4&lt;EDATE('APA Inputs'!$C$27,N('APA Inputs'!$D$27))),'APA Inputs'!$J$27,0)+IF(N('APA Inputs'!$H$27)&gt;0,IF(AU$4=EDATE('APA Inputs'!$C$27,'APA Inputs'!$H$27-1),N('APA Inputs'!$G$27),0),0))*IF('APA Inputs'!$I$27="",1,'APA Inputs'!$I$27))</f>
        <v>0</v>
      </c>
      <c r="AV12" s="409" t="n">
        <f aca="false">IF('APA Inputs'!$C$27="",0,(IF(AND(AV$4&gt;='APA Inputs'!$C$27,AV$4&lt;EDATE('APA Inputs'!$C$27,N('APA Inputs'!$D$27))),'APA Inputs'!$J$27,0)+IF(N('APA Inputs'!$H$27)&gt;0,IF(AV$4=EDATE('APA Inputs'!$C$27,'APA Inputs'!$H$27-1),N('APA Inputs'!$G$27),0),0))*IF('APA Inputs'!$I$27="",1,'APA Inputs'!$I$27))</f>
        <v>0</v>
      </c>
      <c r="AW12" s="409" t="n">
        <f aca="false">IF('APA Inputs'!$C$27="",0,(IF(AND(AW$4&gt;='APA Inputs'!$C$27,AW$4&lt;EDATE('APA Inputs'!$C$27,N('APA Inputs'!$D$27))),'APA Inputs'!$J$27,0)+IF(N('APA Inputs'!$H$27)&gt;0,IF(AW$4=EDATE('APA Inputs'!$C$27,'APA Inputs'!$H$27-1),N('APA Inputs'!$G$27),0),0))*IF('APA Inputs'!$I$27="",1,'APA Inputs'!$I$27))</f>
        <v>0</v>
      </c>
      <c r="AX12" s="409" t="n">
        <f aca="false">IF('APA Inputs'!$C$27="",0,(IF(AND(AX$4&gt;='APA Inputs'!$C$27,AX$4&lt;EDATE('APA Inputs'!$C$27,N('APA Inputs'!$D$27))),'APA Inputs'!$J$27,0)+IF(N('APA Inputs'!$H$27)&gt;0,IF(AX$4=EDATE('APA Inputs'!$C$27,'APA Inputs'!$H$27-1),N('APA Inputs'!$G$27),0),0))*IF('APA Inputs'!$I$27="",1,'APA Inputs'!$I$27))</f>
        <v>0</v>
      </c>
      <c r="AY12" s="409" t="n">
        <f aca="false">IF('APA Inputs'!$C$27="",0,(IF(AND(AY$4&gt;='APA Inputs'!$C$27,AY$4&lt;EDATE('APA Inputs'!$C$27,N('APA Inputs'!$D$27))),'APA Inputs'!$J$27,0)+IF(N('APA Inputs'!$H$27)&gt;0,IF(AY$4=EDATE('APA Inputs'!$C$27,'APA Inputs'!$H$27-1),N('APA Inputs'!$G$27),0),0))*IF('APA Inputs'!$I$27="",1,'APA Inputs'!$I$27))</f>
        <v>0</v>
      </c>
      <c r="AZ12" s="409" t="n">
        <f aca="false">IF('APA Inputs'!$C$27="",0,(IF(AND(AZ$4&gt;='APA Inputs'!$C$27,AZ$4&lt;EDATE('APA Inputs'!$C$27,N('APA Inputs'!$D$27))),'APA Inputs'!$J$27,0)+IF(N('APA Inputs'!$H$27)&gt;0,IF(AZ$4=EDATE('APA Inputs'!$C$27,'APA Inputs'!$H$27-1),N('APA Inputs'!$G$27),0),0))*IF('APA Inputs'!$I$27="",1,'APA Inputs'!$I$27))</f>
        <v>0</v>
      </c>
      <c r="BA12" s="409" t="n">
        <f aca="false">IF('APA Inputs'!$C$27="",0,(IF(AND(BA$4&gt;='APA Inputs'!$C$27,BA$4&lt;EDATE('APA Inputs'!$C$27,N('APA Inputs'!$D$27))),'APA Inputs'!$J$27,0)+IF(N('APA Inputs'!$H$27)&gt;0,IF(BA$4=EDATE('APA Inputs'!$C$27,'APA Inputs'!$H$27-1),N('APA Inputs'!$G$27),0),0))*IF('APA Inputs'!$I$27="",1,'APA Inputs'!$I$27))</f>
        <v>0</v>
      </c>
      <c r="BB12" s="409" t="n">
        <f aca="false">IF('APA Inputs'!$C$27="",0,(IF(AND(BB$4&gt;='APA Inputs'!$C$27,BB$4&lt;EDATE('APA Inputs'!$C$27,N('APA Inputs'!$D$27))),'APA Inputs'!$J$27,0)+IF(N('APA Inputs'!$H$27)&gt;0,IF(BB$4=EDATE('APA Inputs'!$C$27,'APA Inputs'!$H$27-1),N('APA Inputs'!$G$27),0),0))*IF('APA Inputs'!$I$27="",1,'APA Inputs'!$I$27))</f>
        <v>0</v>
      </c>
      <c r="BC12" s="409" t="n">
        <f aca="false">IF('APA Inputs'!$C$27="",0,(IF(AND(BC$4&gt;='APA Inputs'!$C$27,BC$4&lt;EDATE('APA Inputs'!$C$27,N('APA Inputs'!$D$27))),'APA Inputs'!$J$27,0)+IF(N('APA Inputs'!$H$27)&gt;0,IF(BC$4=EDATE('APA Inputs'!$C$27,'APA Inputs'!$H$27-1),N('APA Inputs'!$G$27),0),0))*IF('APA Inputs'!$I$27="",1,'APA Inputs'!$I$27))</f>
        <v>0</v>
      </c>
      <c r="BD12" s="409" t="n">
        <f aca="false">IF('APA Inputs'!$C$27="",0,(IF(AND(BD$4&gt;='APA Inputs'!$C$27,BD$4&lt;EDATE('APA Inputs'!$C$27,N('APA Inputs'!$D$27))),'APA Inputs'!$J$27,0)+IF(N('APA Inputs'!$H$27)&gt;0,IF(BD$4=EDATE('APA Inputs'!$C$27,'APA Inputs'!$H$27-1),N('APA Inputs'!$G$27),0),0))*IF('APA Inputs'!$I$27="",1,'APA Inputs'!$I$27))</f>
        <v>0</v>
      </c>
      <c r="BE12" s="409" t="n">
        <f aca="false">IF('APA Inputs'!$C$27="",0,(IF(AND(BE$4&gt;='APA Inputs'!$C$27,BE$4&lt;EDATE('APA Inputs'!$C$27,N('APA Inputs'!$D$27))),'APA Inputs'!$J$27,0)+IF(N('APA Inputs'!$H$27)&gt;0,IF(BE$4=EDATE('APA Inputs'!$C$27,'APA Inputs'!$H$27-1),N('APA Inputs'!$G$27),0),0))*IF('APA Inputs'!$I$27="",1,'APA Inputs'!$I$27))</f>
        <v>0</v>
      </c>
      <c r="BF12" s="409" t="n">
        <f aca="false">IF('APA Inputs'!$C$27="",0,(IF(AND(BF$4&gt;='APA Inputs'!$C$27,BF$4&lt;EDATE('APA Inputs'!$C$27,N('APA Inputs'!$D$27))),'APA Inputs'!$J$27,0)+IF(N('APA Inputs'!$H$27)&gt;0,IF(BF$4=EDATE('APA Inputs'!$C$27,'APA Inputs'!$H$27-1),N('APA Inputs'!$G$27),0),0))*IF('APA Inputs'!$I$27="",1,'APA Inputs'!$I$27))</f>
        <v>0</v>
      </c>
      <c r="BG12" s="409" t="n">
        <f aca="false">IF('APA Inputs'!$C$27="",0,(IF(AND(BG$4&gt;='APA Inputs'!$C$27,BG$4&lt;EDATE('APA Inputs'!$C$27,N('APA Inputs'!$D$27))),'APA Inputs'!$J$27,0)+IF(N('APA Inputs'!$H$27)&gt;0,IF(BG$4=EDATE('APA Inputs'!$C$27,'APA Inputs'!$H$27-1),N('APA Inputs'!$G$27),0),0))*IF('APA Inputs'!$I$27="",1,'APA Inputs'!$I$27))</f>
        <v>0</v>
      </c>
      <c r="BH12" s="409" t="n">
        <f aca="false">IF('APA Inputs'!$C$27="",0,(IF(AND(BH$4&gt;='APA Inputs'!$C$27,BH$4&lt;EDATE('APA Inputs'!$C$27,N('APA Inputs'!$D$27))),'APA Inputs'!$J$27,0)+IF(N('APA Inputs'!$H$27)&gt;0,IF(BH$4=EDATE('APA Inputs'!$C$27,'APA Inputs'!$H$27-1),N('APA Inputs'!$G$27),0),0))*IF('APA Inputs'!$I$27="",1,'APA Inputs'!$I$27))</f>
        <v>0</v>
      </c>
      <c r="BI12" s="409" t="n">
        <f aca="false">IF('APA Inputs'!$C$27="",0,(IF(AND(BI$4&gt;='APA Inputs'!$C$27,BI$4&lt;EDATE('APA Inputs'!$C$27,N('APA Inputs'!$D$27))),'APA Inputs'!$J$27,0)+IF(N('APA Inputs'!$H$27)&gt;0,IF(BI$4=EDATE('APA Inputs'!$C$27,'APA Inputs'!$H$27-1),N('APA Inputs'!$G$27),0),0))*IF('APA Inputs'!$I$27="",1,'APA Inputs'!$I$27))</f>
        <v>0</v>
      </c>
      <c r="BJ12" s="409" t="n">
        <f aca="false">IF('APA Inputs'!$C$27="",0,(IF(AND(BJ$4&gt;='APA Inputs'!$C$27,BJ$4&lt;EDATE('APA Inputs'!$C$27,N('APA Inputs'!$D$27))),'APA Inputs'!$J$27,0)+IF(N('APA Inputs'!$H$27)&gt;0,IF(BJ$4=EDATE('APA Inputs'!$C$27,'APA Inputs'!$H$27-1),N('APA Inputs'!$G$27),0),0))*IF('APA Inputs'!$I$27="",1,'APA Inputs'!$I$27))</f>
        <v>0</v>
      </c>
      <c r="BK12" s="409" t="n">
        <f aca="false">IF('APA Inputs'!$C$27="",0,(IF(AND(BK$4&gt;='APA Inputs'!$C$27,BK$4&lt;EDATE('APA Inputs'!$C$27,N('APA Inputs'!$D$27))),'APA Inputs'!$J$27,0)+IF(N('APA Inputs'!$H$27)&gt;0,IF(BK$4=EDATE('APA Inputs'!$C$27,'APA Inputs'!$H$27-1),N('APA Inputs'!$G$27),0),0))*IF('APA Inputs'!$I$27="",1,'APA Inputs'!$I$27))</f>
        <v>0</v>
      </c>
      <c r="BL12" s="409" t="n">
        <f aca="false">IF('APA Inputs'!$C$27="",0,(IF(AND(BL$4&gt;='APA Inputs'!$C$27,BL$4&lt;EDATE('APA Inputs'!$C$27,N('APA Inputs'!$D$27))),'APA Inputs'!$J$27,0)+IF(N('APA Inputs'!$H$27)&gt;0,IF(BL$4=EDATE('APA Inputs'!$C$27,'APA Inputs'!$H$27-1),N('APA Inputs'!$G$27),0),0))*IF('APA Inputs'!$I$27="",1,'APA Inputs'!$I$27))</f>
        <v>0</v>
      </c>
      <c r="BM12" s="409" t="n">
        <f aca="false">IF('APA Inputs'!$C$27="",0,(IF(AND(BM$4&gt;='APA Inputs'!$C$27,BM$4&lt;EDATE('APA Inputs'!$C$27,N('APA Inputs'!$D$27))),'APA Inputs'!$J$27,0)+IF(N('APA Inputs'!$H$27)&gt;0,IF(BM$4=EDATE('APA Inputs'!$C$27,'APA Inputs'!$H$27-1),N('APA Inputs'!$G$27),0),0))*IF('APA Inputs'!$I$27="",1,'APA Inputs'!$I$27))</f>
        <v>0</v>
      </c>
      <c r="BN12" s="409" t="n">
        <f aca="false">IF('APA Inputs'!$C$27="",0,(IF(AND(BN$4&gt;='APA Inputs'!$C$27,BN$4&lt;EDATE('APA Inputs'!$C$27,N('APA Inputs'!$D$27))),'APA Inputs'!$J$27,0)+IF(N('APA Inputs'!$H$27)&gt;0,IF(BN$4=EDATE('APA Inputs'!$C$27,'APA Inputs'!$H$27-1),N('APA Inputs'!$G$27),0),0))*IF('APA Inputs'!$I$27="",1,'APA Inputs'!$I$27))</f>
        <v>0</v>
      </c>
      <c r="BO12" s="409" t="n">
        <f aca="false">IF('APA Inputs'!$C$27="",0,(IF(AND(BO$4&gt;='APA Inputs'!$C$27,BO$4&lt;EDATE('APA Inputs'!$C$27,N('APA Inputs'!$D$27))),'APA Inputs'!$J$27,0)+IF(N('APA Inputs'!$H$27)&gt;0,IF(BO$4=EDATE('APA Inputs'!$C$27,'APA Inputs'!$H$27-1),N('APA Inputs'!$G$27),0),0))*IF('APA Inputs'!$I$27="",1,'APA Inputs'!$I$27))</f>
        <v>0</v>
      </c>
      <c r="BP12" s="409" t="n">
        <f aca="false">IF('APA Inputs'!$C$27="",0,(IF(AND(BP$4&gt;='APA Inputs'!$C$27,BP$4&lt;EDATE('APA Inputs'!$C$27,N('APA Inputs'!$D$27))),'APA Inputs'!$J$27,0)+IF(N('APA Inputs'!$H$27)&gt;0,IF(BP$4=EDATE('APA Inputs'!$C$27,'APA Inputs'!$H$27-1),N('APA Inputs'!$G$27),0),0))*IF('APA Inputs'!$I$27="",1,'APA Inputs'!$I$27))</f>
        <v>0</v>
      </c>
      <c r="BQ12" s="409" t="n">
        <f aca="false">IF('APA Inputs'!$C$27="",0,(IF(AND(BQ$4&gt;='APA Inputs'!$C$27,BQ$4&lt;EDATE('APA Inputs'!$C$27,N('APA Inputs'!$D$27))),'APA Inputs'!$J$27,0)+IF(N('APA Inputs'!$H$27)&gt;0,IF(BQ$4=EDATE('APA Inputs'!$C$27,'APA Inputs'!$H$27-1),N('APA Inputs'!$G$27),0),0))*IF('APA Inputs'!$I$27="",1,'APA Inputs'!$I$27))</f>
        <v>0</v>
      </c>
      <c r="BR12" s="409" t="n">
        <f aca="false">IF('APA Inputs'!$C$27="",0,(IF(AND(BR$4&gt;='APA Inputs'!$C$27,BR$4&lt;EDATE('APA Inputs'!$C$27,N('APA Inputs'!$D$27))),'APA Inputs'!$J$27,0)+IF(N('APA Inputs'!$H$27)&gt;0,IF(BR$4=EDATE('APA Inputs'!$C$27,'APA Inputs'!$H$27-1),N('APA Inputs'!$G$27),0),0))*IF('APA Inputs'!$I$27="",1,'APA Inputs'!$I$27))</f>
        <v>0</v>
      </c>
      <c r="BS12" s="409" t="n">
        <f aca="false">IF('APA Inputs'!$C$27="",0,(IF(AND(BS$4&gt;='APA Inputs'!$C$27,BS$4&lt;EDATE('APA Inputs'!$C$27,N('APA Inputs'!$D$27))),'APA Inputs'!$J$27,0)+IF(N('APA Inputs'!$H$27)&gt;0,IF(BS$4=EDATE('APA Inputs'!$C$27,'APA Inputs'!$H$27-1),N('APA Inputs'!$G$27),0),0))*IF('APA Inputs'!$I$27="",1,'APA Inputs'!$I$27))</f>
        <v>0</v>
      </c>
      <c r="BT12" s="409" t="n">
        <f aca="false">IF('APA Inputs'!$C$27="",0,(IF(AND(BT$4&gt;='APA Inputs'!$C$27,BT$4&lt;EDATE('APA Inputs'!$C$27,N('APA Inputs'!$D$27))),'APA Inputs'!$J$27,0)+IF(N('APA Inputs'!$H$27)&gt;0,IF(BT$4=EDATE('APA Inputs'!$C$27,'APA Inputs'!$H$27-1),N('APA Inputs'!$G$27),0),0))*IF('APA Inputs'!$I$27="",1,'APA Inputs'!$I$27))</f>
        <v>0</v>
      </c>
      <c r="BU12" s="409" t="n">
        <f aca="false">IF('APA Inputs'!$C$27="",0,(IF(AND(BU$4&gt;='APA Inputs'!$C$27,BU$4&lt;EDATE('APA Inputs'!$C$27,N('APA Inputs'!$D$27))),'APA Inputs'!$J$27,0)+IF(N('APA Inputs'!$H$27)&gt;0,IF(BU$4=EDATE('APA Inputs'!$C$27,'APA Inputs'!$H$27-1),N('APA Inputs'!$G$27),0),0))*IF('APA Inputs'!$I$27="",1,'APA Inputs'!$I$27))</f>
        <v>0</v>
      </c>
      <c r="BV12" s="409" t="n">
        <f aca="false">IF('APA Inputs'!$C$27="",0,(IF(AND(BV$4&gt;='APA Inputs'!$C$27,BV$4&lt;EDATE('APA Inputs'!$C$27,N('APA Inputs'!$D$27))),'APA Inputs'!$J$27,0)+IF(N('APA Inputs'!$H$27)&gt;0,IF(BV$4=EDATE('APA Inputs'!$C$27,'APA Inputs'!$H$27-1),N('APA Inputs'!$G$27),0),0))*IF('APA Inputs'!$I$27="",1,'APA Inputs'!$I$27))</f>
        <v>0</v>
      </c>
      <c r="BW12" s="409" t="n">
        <f aca="false">IF('APA Inputs'!$C$27="",0,(IF(AND(BW$4&gt;='APA Inputs'!$C$27,BW$4&lt;EDATE('APA Inputs'!$C$27,N('APA Inputs'!$D$27))),'APA Inputs'!$J$27,0)+IF(N('APA Inputs'!$H$27)&gt;0,IF(BW$4=EDATE('APA Inputs'!$C$27,'APA Inputs'!$H$27-1),N('APA Inputs'!$G$27),0),0))*IF('APA Inputs'!$I$27="",1,'APA Inputs'!$I$27))</f>
        <v>0</v>
      </c>
      <c r="BX12" s="409" t="n">
        <f aca="false">IF('APA Inputs'!$C$27="",0,(IF(AND(BX$4&gt;='APA Inputs'!$C$27,BX$4&lt;EDATE('APA Inputs'!$C$27,N('APA Inputs'!$D$27))),'APA Inputs'!$J$27,0)+IF(N('APA Inputs'!$H$27)&gt;0,IF(BX$4=EDATE('APA Inputs'!$C$27,'APA Inputs'!$H$27-1),N('APA Inputs'!$G$27),0),0))*IF('APA Inputs'!$I$27="",1,'APA Inputs'!$I$27))</f>
        <v>0</v>
      </c>
      <c r="BY12" s="409" t="n">
        <f aca="false">IF('APA Inputs'!$C$27="",0,(IF(AND(BY$4&gt;='APA Inputs'!$C$27,BY$4&lt;EDATE('APA Inputs'!$C$27,N('APA Inputs'!$D$27))),'APA Inputs'!$J$27,0)+IF(N('APA Inputs'!$H$27)&gt;0,IF(BY$4=EDATE('APA Inputs'!$C$27,'APA Inputs'!$H$27-1),N('APA Inputs'!$G$27),0),0))*IF('APA Inputs'!$I$27="",1,'APA Inputs'!$I$27))</f>
        <v>0</v>
      </c>
      <c r="BZ12" s="409" t="n">
        <f aca="false">IF('APA Inputs'!$C$27="",0,(IF(AND(BZ$4&gt;='APA Inputs'!$C$27,BZ$4&lt;EDATE('APA Inputs'!$C$27,N('APA Inputs'!$D$27))),'APA Inputs'!$J$27,0)+IF(N('APA Inputs'!$H$27)&gt;0,IF(BZ$4=EDATE('APA Inputs'!$C$27,'APA Inputs'!$H$27-1),N('APA Inputs'!$G$27),0),0))*IF('APA Inputs'!$I$27="",1,'APA Inputs'!$I$27))</f>
        <v>0</v>
      </c>
      <c r="CA12" s="409" t="n">
        <f aca="false">IF('APA Inputs'!$C$27="",0,(IF(AND(CA$4&gt;='APA Inputs'!$C$27,CA$4&lt;EDATE('APA Inputs'!$C$27,N('APA Inputs'!$D$27))),'APA Inputs'!$J$27,0)+IF(N('APA Inputs'!$H$27)&gt;0,IF(CA$4=EDATE('APA Inputs'!$C$27,'APA Inputs'!$H$27-1),N('APA Inputs'!$G$27),0),0))*IF('APA Inputs'!$I$27="",1,'APA Inputs'!$I$27))</f>
        <v>0</v>
      </c>
      <c r="CB12" s="409" t="n">
        <f aca="false">IF('APA Inputs'!$C$27="",0,(IF(AND(CB$4&gt;='APA Inputs'!$C$27,CB$4&lt;EDATE('APA Inputs'!$C$27,N('APA Inputs'!$D$27))),'APA Inputs'!$J$27,0)+IF(N('APA Inputs'!$H$27)&gt;0,IF(CB$4=EDATE('APA Inputs'!$C$27,'APA Inputs'!$H$27-1),N('APA Inputs'!$G$27),0),0))*IF('APA Inputs'!$I$27="",1,'APA Inputs'!$I$27))</f>
        <v>0</v>
      </c>
      <c r="CC12" s="409" t="n">
        <f aca="false">IF('APA Inputs'!$C$27="",0,(IF(AND(CC$4&gt;='APA Inputs'!$C$27,CC$4&lt;EDATE('APA Inputs'!$C$27,N('APA Inputs'!$D$27))),'APA Inputs'!$J$27,0)+IF(N('APA Inputs'!$H$27)&gt;0,IF(CC$4=EDATE('APA Inputs'!$C$27,'APA Inputs'!$H$27-1),N('APA Inputs'!$G$27),0),0))*IF('APA Inputs'!$I$27="",1,'APA Inputs'!$I$27))</f>
        <v>0</v>
      </c>
      <c r="CD12" s="409" t="n">
        <f aca="false">IF('APA Inputs'!$C$27="",0,(IF(AND(CD$4&gt;='APA Inputs'!$C$27,CD$4&lt;EDATE('APA Inputs'!$C$27,N('APA Inputs'!$D$27))),'APA Inputs'!$J$27,0)+IF(N('APA Inputs'!$H$27)&gt;0,IF(CD$4=EDATE('APA Inputs'!$C$27,'APA Inputs'!$H$27-1),N('APA Inputs'!$G$27),0),0))*IF('APA Inputs'!$I$27="",1,'APA Inputs'!$I$27))</f>
        <v>0</v>
      </c>
      <c r="CE12" s="409" t="n">
        <f aca="false">IF('APA Inputs'!$C$27="",0,(IF(AND(CE$4&gt;='APA Inputs'!$C$27,CE$4&lt;EDATE('APA Inputs'!$C$27,N('APA Inputs'!$D$27))),'APA Inputs'!$J$27,0)+IF(N('APA Inputs'!$H$27)&gt;0,IF(CE$4=EDATE('APA Inputs'!$C$27,'APA Inputs'!$H$27-1),N('APA Inputs'!$G$27),0),0))*IF('APA Inputs'!$I$27="",1,'APA Inputs'!$I$27))</f>
        <v>0</v>
      </c>
      <c r="CF12" s="409" t="n">
        <f aca="false">IF('APA Inputs'!$C$27="",0,(IF(AND(CF$4&gt;='APA Inputs'!$C$27,CF$4&lt;EDATE('APA Inputs'!$C$27,N('APA Inputs'!$D$27))),'APA Inputs'!$J$27,0)+IF(N('APA Inputs'!$H$27)&gt;0,IF(CF$4=EDATE('APA Inputs'!$C$27,'APA Inputs'!$H$27-1),N('APA Inputs'!$G$27),0),0))*IF('APA Inputs'!$I$27="",1,'APA Inputs'!$I$27))</f>
        <v>0</v>
      </c>
      <c r="CG12" s="409" t="n">
        <f aca="false">IF('APA Inputs'!$C$27="",0,(IF(AND(CG$4&gt;='APA Inputs'!$C$27,CG$4&lt;EDATE('APA Inputs'!$C$27,N('APA Inputs'!$D$27))),'APA Inputs'!$J$27,0)+IF(N('APA Inputs'!$H$27)&gt;0,IF(CG$4=EDATE('APA Inputs'!$C$27,'APA Inputs'!$H$27-1),N('APA Inputs'!$G$27),0),0))*IF('APA Inputs'!$I$27="",1,'APA Inputs'!$I$27))</f>
        <v>0</v>
      </c>
      <c r="CH12" s="409" t="n">
        <f aca="false">IF('APA Inputs'!$C$27="",0,(IF(AND(CH$4&gt;='APA Inputs'!$C$27,CH$4&lt;EDATE('APA Inputs'!$C$27,N('APA Inputs'!$D$27))),'APA Inputs'!$J$27,0)+IF(N('APA Inputs'!$H$27)&gt;0,IF(CH$4=EDATE('APA Inputs'!$C$27,'APA Inputs'!$H$27-1),N('APA Inputs'!$G$27),0),0))*IF('APA Inputs'!$I$27="",1,'APA Inputs'!$I$27))</f>
        <v>0</v>
      </c>
      <c r="CI12" s="409" t="n">
        <f aca="false">IF('APA Inputs'!$C$27="",0,(IF(AND(CI$4&gt;='APA Inputs'!$C$27,CI$4&lt;EDATE('APA Inputs'!$C$27,N('APA Inputs'!$D$27))),'APA Inputs'!$J$27,0)+IF(N('APA Inputs'!$H$27)&gt;0,IF(CI$4=EDATE('APA Inputs'!$C$27,'APA Inputs'!$H$27-1),N('APA Inputs'!$G$27),0),0))*IF('APA Inputs'!$I$27="",1,'APA Inputs'!$I$27))</f>
        <v>0</v>
      </c>
      <c r="CJ12" s="409" t="n">
        <f aca="false">IF('APA Inputs'!$C$27="",0,(IF(AND(CJ$4&gt;='APA Inputs'!$C$27,CJ$4&lt;EDATE('APA Inputs'!$C$27,N('APA Inputs'!$D$27))),'APA Inputs'!$J$27,0)+IF(N('APA Inputs'!$H$27)&gt;0,IF(CJ$4=EDATE('APA Inputs'!$C$27,'APA Inputs'!$H$27-1),N('APA Inputs'!$G$27),0),0))*IF('APA Inputs'!$I$27="",1,'APA Inputs'!$I$27))</f>
        <v>0</v>
      </c>
      <c r="CK12" s="409" t="n">
        <f aca="false">IF('APA Inputs'!$C$27="",0,(IF(AND(CK$4&gt;='APA Inputs'!$C$27,CK$4&lt;EDATE('APA Inputs'!$C$27,N('APA Inputs'!$D$27))),'APA Inputs'!$J$27,0)+IF(N('APA Inputs'!$H$27)&gt;0,IF(CK$4=EDATE('APA Inputs'!$C$27,'APA Inputs'!$H$27-1),N('APA Inputs'!$G$27),0),0))*IF('APA Inputs'!$I$27="",1,'APA Inputs'!$I$27))</f>
        <v>0</v>
      </c>
      <c r="CL12" s="409" t="n">
        <f aca="false">IF('APA Inputs'!$C$27="",0,(IF(AND(CL$4&gt;='APA Inputs'!$C$27,CL$4&lt;EDATE('APA Inputs'!$C$27,N('APA Inputs'!$D$27))),'APA Inputs'!$J$27,0)+IF(N('APA Inputs'!$H$27)&gt;0,IF(CL$4=EDATE('APA Inputs'!$C$27,'APA Inputs'!$H$27-1),N('APA Inputs'!$G$27),0),0))*IF('APA Inputs'!$I$27="",1,'APA Inputs'!$I$27))</f>
        <v>0</v>
      </c>
      <c r="CM12" s="409" t="n">
        <f aca="false">IF('APA Inputs'!$C$27="",0,(IF(AND(CM$4&gt;='APA Inputs'!$C$27,CM$4&lt;EDATE('APA Inputs'!$C$27,N('APA Inputs'!$D$27))),'APA Inputs'!$J$27,0)+IF(N('APA Inputs'!$H$27)&gt;0,IF(CM$4=EDATE('APA Inputs'!$C$27,'APA Inputs'!$H$27-1),N('APA Inputs'!$G$27),0),0))*IF('APA Inputs'!$I$27="",1,'APA Inputs'!$I$27))</f>
        <v>0</v>
      </c>
      <c r="CN12" s="409" t="n">
        <f aca="false">IF('APA Inputs'!$C$27="",0,(IF(AND(CN$4&gt;='APA Inputs'!$C$27,CN$4&lt;EDATE('APA Inputs'!$C$27,N('APA Inputs'!$D$27))),'APA Inputs'!$J$27,0)+IF(N('APA Inputs'!$H$27)&gt;0,IF(CN$4=EDATE('APA Inputs'!$C$27,'APA Inputs'!$H$27-1),N('APA Inputs'!$G$27),0),0))*IF('APA Inputs'!$I$27="",1,'APA Inputs'!$I$27))</f>
        <v>0</v>
      </c>
      <c r="CO12" s="409" t="n">
        <f aca="false">IF('APA Inputs'!$C$27="",0,(IF(AND(CO$4&gt;='APA Inputs'!$C$27,CO$4&lt;EDATE('APA Inputs'!$C$27,N('APA Inputs'!$D$27))),'APA Inputs'!$J$27,0)+IF(N('APA Inputs'!$H$27)&gt;0,IF(CO$4=EDATE('APA Inputs'!$C$27,'APA Inputs'!$H$27-1),N('APA Inputs'!$G$27),0),0))*IF('APA Inputs'!$I$27="",1,'APA Inputs'!$I$27))</f>
        <v>0</v>
      </c>
      <c r="CP12" s="409" t="n">
        <f aca="false">IF('APA Inputs'!$C$27="",0,(IF(AND(CP$4&gt;='APA Inputs'!$C$27,CP$4&lt;EDATE('APA Inputs'!$C$27,N('APA Inputs'!$D$27))),'APA Inputs'!$J$27,0)+IF(N('APA Inputs'!$H$27)&gt;0,IF(CP$4=EDATE('APA Inputs'!$C$27,'APA Inputs'!$H$27-1),N('APA Inputs'!$G$27),0),0))*IF('APA Inputs'!$I$27="",1,'APA Inputs'!$I$27))</f>
        <v>0</v>
      </c>
      <c r="CQ12" s="409" t="n">
        <f aca="false">IF('APA Inputs'!$C$27="",0,(IF(AND(CQ$4&gt;='APA Inputs'!$C$27,CQ$4&lt;EDATE('APA Inputs'!$C$27,N('APA Inputs'!$D$27))),'APA Inputs'!$J$27,0)+IF(N('APA Inputs'!$H$27)&gt;0,IF(CQ$4=EDATE('APA Inputs'!$C$27,'APA Inputs'!$H$27-1),N('APA Inputs'!$G$27),0),0))*IF('APA Inputs'!$I$27="",1,'APA Inputs'!$I$27))</f>
        <v>0</v>
      </c>
      <c r="CR12" s="409" t="n">
        <f aca="false">IF('APA Inputs'!$C$27="",0,(IF(AND(CR$4&gt;='APA Inputs'!$C$27,CR$4&lt;EDATE('APA Inputs'!$C$27,N('APA Inputs'!$D$27))),'APA Inputs'!$J$27,0)+IF(N('APA Inputs'!$H$27)&gt;0,IF(CR$4=EDATE('APA Inputs'!$C$27,'APA Inputs'!$H$27-1),N('APA Inputs'!$G$27),0),0))*IF('APA Inputs'!$I$27="",1,'APA Inputs'!$I$27))</f>
        <v>0</v>
      </c>
      <c r="CS12" s="409" t="n">
        <f aca="false">IF('APA Inputs'!$C$27="",0,(IF(AND(CS$4&gt;='APA Inputs'!$C$27,CS$4&lt;EDATE('APA Inputs'!$C$27,N('APA Inputs'!$D$27))),'APA Inputs'!$J$27,0)+IF(N('APA Inputs'!$H$27)&gt;0,IF(CS$4=EDATE('APA Inputs'!$C$27,'APA Inputs'!$H$27-1),N('APA Inputs'!$G$27),0),0))*IF('APA Inputs'!$I$27="",1,'APA Inputs'!$I$27))</f>
        <v>0</v>
      </c>
      <c r="CT12" s="409" t="n">
        <f aca="false">IF('APA Inputs'!$C$27="",0,(IF(AND(CT$4&gt;='APA Inputs'!$C$27,CT$4&lt;EDATE('APA Inputs'!$C$27,N('APA Inputs'!$D$27))),'APA Inputs'!$J$27,0)+IF(N('APA Inputs'!$H$27)&gt;0,IF(CT$4=EDATE('APA Inputs'!$C$27,'APA Inputs'!$H$27-1),N('APA Inputs'!$G$27),0),0))*IF('APA Inputs'!$I$27="",1,'APA Inputs'!$I$27))</f>
        <v>0</v>
      </c>
      <c r="CU12" s="409" t="n">
        <f aca="false">IF('APA Inputs'!$C$27="",0,(IF(AND(CU$4&gt;='APA Inputs'!$C$27,CU$4&lt;EDATE('APA Inputs'!$C$27,N('APA Inputs'!$D$27))),'APA Inputs'!$J$27,0)+IF(N('APA Inputs'!$H$27)&gt;0,IF(CU$4=EDATE('APA Inputs'!$C$27,'APA Inputs'!$H$27-1),N('APA Inputs'!$G$27),0),0))*IF('APA Inputs'!$I$27="",1,'APA Inputs'!$I$27))</f>
        <v>0</v>
      </c>
      <c r="CV12" s="409" t="n">
        <f aca="false">IF('APA Inputs'!$C$27="",0,(IF(AND(CV$4&gt;='APA Inputs'!$C$27,CV$4&lt;EDATE('APA Inputs'!$C$27,N('APA Inputs'!$D$27))),'APA Inputs'!$J$27,0)+IF(N('APA Inputs'!$H$27)&gt;0,IF(CV$4=EDATE('APA Inputs'!$C$27,'APA Inputs'!$H$27-1),N('APA Inputs'!$G$27),0),0))*IF('APA Inputs'!$I$27="",1,'APA Inputs'!$I$27))</f>
        <v>0</v>
      </c>
      <c r="CW12" s="409" t="n">
        <f aca="false">IF('APA Inputs'!$C$27="",0,(IF(AND(CW$4&gt;='APA Inputs'!$C$27,CW$4&lt;EDATE('APA Inputs'!$C$27,N('APA Inputs'!$D$27))),'APA Inputs'!$J$27,0)+IF(N('APA Inputs'!$H$27)&gt;0,IF(CW$4=EDATE('APA Inputs'!$C$27,'APA Inputs'!$H$27-1),N('APA Inputs'!$G$27),0),0))*IF('APA Inputs'!$I$27="",1,'APA Inputs'!$I$27))</f>
        <v>0</v>
      </c>
      <c r="CX12" s="409" t="n">
        <f aca="false">IF('APA Inputs'!$C$27="",0,(IF(AND(CX$4&gt;='APA Inputs'!$C$27,CX$4&lt;EDATE('APA Inputs'!$C$27,N('APA Inputs'!$D$27))),'APA Inputs'!$J$27,0)+IF(N('APA Inputs'!$H$27)&gt;0,IF(CX$4=EDATE('APA Inputs'!$C$27,'APA Inputs'!$H$27-1),N('APA Inputs'!$G$27),0),0))*IF('APA Inputs'!$I$27="",1,'APA Inputs'!$I$27))</f>
        <v>0</v>
      </c>
      <c r="CY12" s="409" t="n">
        <f aca="false">IF('APA Inputs'!$C$27="",0,(IF(AND(CY$4&gt;='APA Inputs'!$C$27,CY$4&lt;EDATE('APA Inputs'!$C$27,N('APA Inputs'!$D$27))),'APA Inputs'!$J$27,0)+IF(N('APA Inputs'!$H$27)&gt;0,IF(CY$4=EDATE('APA Inputs'!$C$27,'APA Inputs'!$H$27-1),N('APA Inputs'!$G$27),0),0))*IF('APA Inputs'!$I$27="",1,'APA Inputs'!$I$27))</f>
        <v>0</v>
      </c>
      <c r="CZ12" s="409" t="n">
        <f aca="false">IF('APA Inputs'!$C$27="",0,(IF(AND(CZ$4&gt;='APA Inputs'!$C$27,CZ$4&lt;EDATE('APA Inputs'!$C$27,N('APA Inputs'!$D$27))),'APA Inputs'!$J$27,0)+IF(N('APA Inputs'!$H$27)&gt;0,IF(CZ$4=EDATE('APA Inputs'!$C$27,'APA Inputs'!$H$27-1),N('APA Inputs'!$G$27),0),0))*IF('APA Inputs'!$I$27="",1,'APA Inputs'!$I$27))</f>
        <v>0</v>
      </c>
      <c r="DA12" s="409" t="n">
        <f aca="false">IF('APA Inputs'!$C$27="",0,(IF(AND(DA$4&gt;='APA Inputs'!$C$27,DA$4&lt;EDATE('APA Inputs'!$C$27,N('APA Inputs'!$D$27))),'APA Inputs'!$J$27,0)+IF(N('APA Inputs'!$H$27)&gt;0,IF(DA$4=EDATE('APA Inputs'!$C$27,'APA Inputs'!$H$27-1),N('APA Inputs'!$G$27),0),0))*IF('APA Inputs'!$I$27="",1,'APA Inputs'!$I$27))</f>
        <v>0</v>
      </c>
      <c r="DB12" s="409" t="n">
        <f aca="false">IF('APA Inputs'!$C$27="",0,(IF(AND(DB$4&gt;='APA Inputs'!$C$27,DB$4&lt;EDATE('APA Inputs'!$C$27,N('APA Inputs'!$D$27))),'APA Inputs'!$J$27,0)+IF(N('APA Inputs'!$H$27)&gt;0,IF(DB$4=EDATE('APA Inputs'!$C$27,'APA Inputs'!$H$27-1),N('APA Inputs'!$G$27),0),0))*IF('APA Inputs'!$I$27="",1,'APA Inputs'!$I$27))</f>
        <v>0</v>
      </c>
      <c r="DC12" s="409" t="n">
        <f aca="false">IF('APA Inputs'!$C$27="",0,(IF(AND(DC$4&gt;='APA Inputs'!$C$27,DC$4&lt;EDATE('APA Inputs'!$C$27,N('APA Inputs'!$D$27))),'APA Inputs'!$J$27,0)+IF(N('APA Inputs'!$H$27)&gt;0,IF(DC$4=EDATE('APA Inputs'!$C$27,'APA Inputs'!$H$27-1),N('APA Inputs'!$G$27),0),0))*IF('APA Inputs'!$I$27="",1,'APA Inputs'!$I$27))</f>
        <v>0</v>
      </c>
      <c r="DD12" s="409" t="n">
        <f aca="false">IF('APA Inputs'!$C$27="",0,(IF(AND(DD$4&gt;='APA Inputs'!$C$27,DD$4&lt;EDATE('APA Inputs'!$C$27,N('APA Inputs'!$D$27))),'APA Inputs'!$J$27,0)+IF(N('APA Inputs'!$H$27)&gt;0,IF(DD$4=EDATE('APA Inputs'!$C$27,'APA Inputs'!$H$27-1),N('APA Inputs'!$G$27),0),0))*IF('APA Inputs'!$I$27="",1,'APA Inputs'!$I$27))</f>
        <v>0</v>
      </c>
      <c r="DE12" s="40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09" t="n">
        <f aca="false">IF('APA Inputs'!$C$28="",0,(IF(AND(B$4&gt;='APA Inputs'!$C$28,B$4&lt;EDATE('APA Inputs'!$C$28,N('APA Inputs'!$D$28))),'APA Inputs'!$J$28,0)+IF(N('APA Inputs'!$H$28)&gt;0,IF(B$4=EDATE('APA Inputs'!$C$28,'APA Inputs'!$H$28-1),N('APA Inputs'!$G$28),0),0))*IF('APA Inputs'!$I$28="",1,'APA Inputs'!$I$28))</f>
        <v>0</v>
      </c>
      <c r="C13" s="409" t="n">
        <f aca="false">IF('APA Inputs'!$C$28="",0,(IF(AND(C$4&gt;='APA Inputs'!$C$28,C$4&lt;EDATE('APA Inputs'!$C$28,N('APA Inputs'!$D$28))),'APA Inputs'!$J$28,0)+IF(N('APA Inputs'!$H$28)&gt;0,IF(C$4=EDATE('APA Inputs'!$C$28,'APA Inputs'!$H$28-1),N('APA Inputs'!$G$28),0),0))*IF('APA Inputs'!$I$28="",1,'APA Inputs'!$I$28))</f>
        <v>0</v>
      </c>
      <c r="D13" s="409" t="n">
        <f aca="false">IF('APA Inputs'!$C$28="",0,(IF(AND(D$4&gt;='APA Inputs'!$C$28,D$4&lt;EDATE('APA Inputs'!$C$28,N('APA Inputs'!$D$28))),'APA Inputs'!$J$28,0)+IF(N('APA Inputs'!$H$28)&gt;0,IF(D$4=EDATE('APA Inputs'!$C$28,'APA Inputs'!$H$28-1),N('APA Inputs'!$G$28),0),0))*IF('APA Inputs'!$I$28="",1,'APA Inputs'!$I$28))</f>
        <v>0</v>
      </c>
      <c r="E13" s="409" t="n">
        <f aca="false">IF('APA Inputs'!$C$28="",0,(IF(AND(E$4&gt;='APA Inputs'!$C$28,E$4&lt;EDATE('APA Inputs'!$C$28,N('APA Inputs'!$D$28))),'APA Inputs'!$J$28,0)+IF(N('APA Inputs'!$H$28)&gt;0,IF(E$4=EDATE('APA Inputs'!$C$28,'APA Inputs'!$H$28-1),N('APA Inputs'!$G$28),0),0))*IF('APA Inputs'!$I$28="",1,'APA Inputs'!$I$28))</f>
        <v>0</v>
      </c>
      <c r="F13" s="409" t="n">
        <f aca="false">IF('APA Inputs'!$C$28="",0,(IF(AND(F$4&gt;='APA Inputs'!$C$28,F$4&lt;EDATE('APA Inputs'!$C$28,N('APA Inputs'!$D$28))),'APA Inputs'!$J$28,0)+IF(N('APA Inputs'!$H$28)&gt;0,IF(F$4=EDATE('APA Inputs'!$C$28,'APA Inputs'!$H$28-1),N('APA Inputs'!$G$28),0),0))*IF('APA Inputs'!$I$28="",1,'APA Inputs'!$I$28))</f>
        <v>0</v>
      </c>
      <c r="G13" s="409" t="n">
        <f aca="false">IF('APA Inputs'!$C$28="",0,(IF(AND(G$4&gt;='APA Inputs'!$C$28,G$4&lt;EDATE('APA Inputs'!$C$28,N('APA Inputs'!$D$28))),'APA Inputs'!$J$28,0)+IF(N('APA Inputs'!$H$28)&gt;0,IF(G$4=EDATE('APA Inputs'!$C$28,'APA Inputs'!$H$28-1),N('APA Inputs'!$G$28),0),0))*IF('APA Inputs'!$I$28="",1,'APA Inputs'!$I$28))</f>
        <v>0</v>
      </c>
      <c r="H13" s="409" t="n">
        <f aca="false">IF('APA Inputs'!$C$28="",0,(IF(AND(H$4&gt;='APA Inputs'!$C$28,H$4&lt;EDATE('APA Inputs'!$C$28,N('APA Inputs'!$D$28))),'APA Inputs'!$J$28,0)+IF(N('APA Inputs'!$H$28)&gt;0,IF(H$4=EDATE('APA Inputs'!$C$28,'APA Inputs'!$H$28-1),N('APA Inputs'!$G$28),0),0))*IF('APA Inputs'!$I$28="",1,'APA Inputs'!$I$28))</f>
        <v>0</v>
      </c>
      <c r="I13" s="409" t="n">
        <f aca="false">IF('APA Inputs'!$C$28="",0,(IF(AND(I$4&gt;='APA Inputs'!$C$28,I$4&lt;EDATE('APA Inputs'!$C$28,N('APA Inputs'!$D$28))),'APA Inputs'!$J$28,0)+IF(N('APA Inputs'!$H$28)&gt;0,IF(I$4=EDATE('APA Inputs'!$C$28,'APA Inputs'!$H$28-1),N('APA Inputs'!$G$28),0),0))*IF('APA Inputs'!$I$28="",1,'APA Inputs'!$I$28))</f>
        <v>0</v>
      </c>
      <c r="J13" s="409" t="n">
        <f aca="false">IF('APA Inputs'!$C$28="",0,(IF(AND(J$4&gt;='APA Inputs'!$C$28,J$4&lt;EDATE('APA Inputs'!$C$28,N('APA Inputs'!$D$28))),'APA Inputs'!$J$28,0)+IF(N('APA Inputs'!$H$28)&gt;0,IF(J$4=EDATE('APA Inputs'!$C$28,'APA Inputs'!$H$28-1),N('APA Inputs'!$G$28),0),0))*IF('APA Inputs'!$I$28="",1,'APA Inputs'!$I$28))</f>
        <v>0</v>
      </c>
      <c r="K13" s="409" t="n">
        <f aca="false">IF('APA Inputs'!$C$28="",0,(IF(AND(K$4&gt;='APA Inputs'!$C$28,K$4&lt;EDATE('APA Inputs'!$C$28,N('APA Inputs'!$D$28))),'APA Inputs'!$J$28,0)+IF(N('APA Inputs'!$H$28)&gt;0,IF(K$4=EDATE('APA Inputs'!$C$28,'APA Inputs'!$H$28-1),N('APA Inputs'!$G$28),0),0))*IF('APA Inputs'!$I$28="",1,'APA Inputs'!$I$28))</f>
        <v>0</v>
      </c>
      <c r="L13" s="409" t="n">
        <f aca="false">IF('APA Inputs'!$C$28="",0,(IF(AND(L$4&gt;='APA Inputs'!$C$28,L$4&lt;EDATE('APA Inputs'!$C$28,N('APA Inputs'!$D$28))),'APA Inputs'!$J$28,0)+IF(N('APA Inputs'!$H$28)&gt;0,IF(L$4=EDATE('APA Inputs'!$C$28,'APA Inputs'!$H$28-1),N('APA Inputs'!$G$28),0),0))*IF('APA Inputs'!$I$28="",1,'APA Inputs'!$I$28))</f>
        <v>0</v>
      </c>
      <c r="M13" s="409" t="n">
        <f aca="false">IF('APA Inputs'!$C$28="",0,(IF(AND(M$4&gt;='APA Inputs'!$C$28,M$4&lt;EDATE('APA Inputs'!$C$28,N('APA Inputs'!$D$28))),'APA Inputs'!$J$28,0)+IF(N('APA Inputs'!$H$28)&gt;0,IF(M$4=EDATE('APA Inputs'!$C$28,'APA Inputs'!$H$28-1),N('APA Inputs'!$G$28),0),0))*IF('APA Inputs'!$I$28="",1,'APA Inputs'!$I$28))</f>
        <v>0</v>
      </c>
      <c r="N13" s="409" t="n">
        <f aca="false">IF('APA Inputs'!$C$28="",0,(IF(AND(N$4&gt;='APA Inputs'!$C$28,N$4&lt;EDATE('APA Inputs'!$C$28,N('APA Inputs'!$D$28))),'APA Inputs'!$J$28,0)+IF(N('APA Inputs'!$H$28)&gt;0,IF(N$4=EDATE('APA Inputs'!$C$28,'APA Inputs'!$H$28-1),N('APA Inputs'!$G$28),0),0))*IF('APA Inputs'!$I$28="",1,'APA Inputs'!$I$28))</f>
        <v>0</v>
      </c>
      <c r="O13" s="409" t="n">
        <f aca="false">IF('APA Inputs'!$C$28="",0,(IF(AND(O$4&gt;='APA Inputs'!$C$28,O$4&lt;EDATE('APA Inputs'!$C$28,N('APA Inputs'!$D$28))),'APA Inputs'!$J$28,0)+IF(N('APA Inputs'!$H$28)&gt;0,IF(O$4=EDATE('APA Inputs'!$C$28,'APA Inputs'!$H$28-1),N('APA Inputs'!$G$28),0),0))*IF('APA Inputs'!$I$28="",1,'APA Inputs'!$I$28))</f>
        <v>0</v>
      </c>
      <c r="P13" s="409" t="n">
        <f aca="false">IF('APA Inputs'!$C$28="",0,(IF(AND(P$4&gt;='APA Inputs'!$C$28,P$4&lt;EDATE('APA Inputs'!$C$28,N('APA Inputs'!$D$28))),'APA Inputs'!$J$28,0)+IF(N('APA Inputs'!$H$28)&gt;0,IF(P$4=EDATE('APA Inputs'!$C$28,'APA Inputs'!$H$28-1),N('APA Inputs'!$G$28),0),0))*IF('APA Inputs'!$I$28="",1,'APA Inputs'!$I$28))</f>
        <v>0</v>
      </c>
      <c r="Q13" s="409" t="n">
        <f aca="false">IF('APA Inputs'!$C$28="",0,(IF(AND(Q$4&gt;='APA Inputs'!$C$28,Q$4&lt;EDATE('APA Inputs'!$C$28,N('APA Inputs'!$D$28))),'APA Inputs'!$J$28,0)+IF(N('APA Inputs'!$H$28)&gt;0,IF(Q$4=EDATE('APA Inputs'!$C$28,'APA Inputs'!$H$28-1),N('APA Inputs'!$G$28),0),0))*IF('APA Inputs'!$I$28="",1,'APA Inputs'!$I$28))</f>
        <v>0</v>
      </c>
      <c r="R13" s="409" t="n">
        <f aca="false">IF('APA Inputs'!$C$28="",0,(IF(AND(R$4&gt;='APA Inputs'!$C$28,R$4&lt;EDATE('APA Inputs'!$C$28,N('APA Inputs'!$D$28))),'APA Inputs'!$J$28,0)+IF(N('APA Inputs'!$H$28)&gt;0,IF(R$4=EDATE('APA Inputs'!$C$28,'APA Inputs'!$H$28-1),N('APA Inputs'!$G$28),0),0))*IF('APA Inputs'!$I$28="",1,'APA Inputs'!$I$28))</f>
        <v>0</v>
      </c>
      <c r="S13" s="409" t="n">
        <f aca="false">IF('APA Inputs'!$C$28="",0,(IF(AND(S$4&gt;='APA Inputs'!$C$28,S$4&lt;EDATE('APA Inputs'!$C$28,N('APA Inputs'!$D$28))),'APA Inputs'!$J$28,0)+IF(N('APA Inputs'!$H$28)&gt;0,IF(S$4=EDATE('APA Inputs'!$C$28,'APA Inputs'!$H$28-1),N('APA Inputs'!$G$28),0),0))*IF('APA Inputs'!$I$28="",1,'APA Inputs'!$I$28))</f>
        <v>0</v>
      </c>
      <c r="T13" s="409" t="n">
        <f aca="false">IF('APA Inputs'!$C$28="",0,(IF(AND(T$4&gt;='APA Inputs'!$C$28,T$4&lt;EDATE('APA Inputs'!$C$28,N('APA Inputs'!$D$28))),'APA Inputs'!$J$28,0)+IF(N('APA Inputs'!$H$28)&gt;0,IF(T$4=EDATE('APA Inputs'!$C$28,'APA Inputs'!$H$28-1),N('APA Inputs'!$G$28),0),0))*IF('APA Inputs'!$I$28="",1,'APA Inputs'!$I$28))</f>
        <v>0</v>
      </c>
      <c r="U13" s="409" t="n">
        <f aca="false">IF('APA Inputs'!$C$28="",0,(IF(AND(U$4&gt;='APA Inputs'!$C$28,U$4&lt;EDATE('APA Inputs'!$C$28,N('APA Inputs'!$D$28))),'APA Inputs'!$J$28,0)+IF(N('APA Inputs'!$H$28)&gt;0,IF(U$4=EDATE('APA Inputs'!$C$28,'APA Inputs'!$H$28-1),N('APA Inputs'!$G$28),0),0))*IF('APA Inputs'!$I$28="",1,'APA Inputs'!$I$28))</f>
        <v>0</v>
      </c>
      <c r="V13" s="409" t="n">
        <f aca="false">IF('APA Inputs'!$C$28="",0,(IF(AND(V$4&gt;='APA Inputs'!$C$28,V$4&lt;EDATE('APA Inputs'!$C$28,N('APA Inputs'!$D$28))),'APA Inputs'!$J$28,0)+IF(N('APA Inputs'!$H$28)&gt;0,IF(V$4=EDATE('APA Inputs'!$C$28,'APA Inputs'!$H$28-1),N('APA Inputs'!$G$28),0),0))*IF('APA Inputs'!$I$28="",1,'APA Inputs'!$I$28))</f>
        <v>0</v>
      </c>
      <c r="W13" s="409" t="n">
        <f aca="false">IF('APA Inputs'!$C$28="",0,(IF(AND(W$4&gt;='APA Inputs'!$C$28,W$4&lt;EDATE('APA Inputs'!$C$28,N('APA Inputs'!$D$28))),'APA Inputs'!$J$28,0)+IF(N('APA Inputs'!$H$28)&gt;0,IF(W$4=EDATE('APA Inputs'!$C$28,'APA Inputs'!$H$28-1),N('APA Inputs'!$G$28),0),0))*IF('APA Inputs'!$I$28="",1,'APA Inputs'!$I$28))</f>
        <v>0</v>
      </c>
      <c r="X13" s="409" t="n">
        <f aca="false">IF('APA Inputs'!$C$28="",0,(IF(AND(X$4&gt;='APA Inputs'!$C$28,X$4&lt;EDATE('APA Inputs'!$C$28,N('APA Inputs'!$D$28))),'APA Inputs'!$J$28,0)+IF(N('APA Inputs'!$H$28)&gt;0,IF(X$4=EDATE('APA Inputs'!$C$28,'APA Inputs'!$H$28-1),N('APA Inputs'!$G$28),0),0))*IF('APA Inputs'!$I$28="",1,'APA Inputs'!$I$28))</f>
        <v>0</v>
      </c>
      <c r="Y13" s="409" t="n">
        <f aca="false">IF('APA Inputs'!$C$28="",0,(IF(AND(Y$4&gt;='APA Inputs'!$C$28,Y$4&lt;EDATE('APA Inputs'!$C$28,N('APA Inputs'!$D$28))),'APA Inputs'!$J$28,0)+IF(N('APA Inputs'!$H$28)&gt;0,IF(Y$4=EDATE('APA Inputs'!$C$28,'APA Inputs'!$H$28-1),N('APA Inputs'!$G$28),0),0))*IF('APA Inputs'!$I$28="",1,'APA Inputs'!$I$28))</f>
        <v>0</v>
      </c>
      <c r="Z13" s="409" t="n">
        <f aca="false">IF('APA Inputs'!$C$28="",0,(IF(AND(Z$4&gt;='APA Inputs'!$C$28,Z$4&lt;EDATE('APA Inputs'!$C$28,N('APA Inputs'!$D$28))),'APA Inputs'!$J$28,0)+IF(N('APA Inputs'!$H$28)&gt;0,IF(Z$4=EDATE('APA Inputs'!$C$28,'APA Inputs'!$H$28-1),N('APA Inputs'!$G$28),0),0))*IF('APA Inputs'!$I$28="",1,'APA Inputs'!$I$28))</f>
        <v>0</v>
      </c>
      <c r="AA13" s="409" t="n">
        <f aca="false">IF('APA Inputs'!$C$28="",0,(IF(AND(AA$4&gt;='APA Inputs'!$C$28,AA$4&lt;EDATE('APA Inputs'!$C$28,N('APA Inputs'!$D$28))),'APA Inputs'!$J$28,0)+IF(N('APA Inputs'!$H$28)&gt;0,IF(AA$4=EDATE('APA Inputs'!$C$28,'APA Inputs'!$H$28-1),N('APA Inputs'!$G$28),0),0))*IF('APA Inputs'!$I$28="",1,'APA Inputs'!$I$28))</f>
        <v>0</v>
      </c>
      <c r="AB13" s="409" t="n">
        <f aca="false">IF('APA Inputs'!$C$28="",0,(IF(AND(AB$4&gt;='APA Inputs'!$C$28,AB$4&lt;EDATE('APA Inputs'!$C$28,N('APA Inputs'!$D$28))),'APA Inputs'!$J$28,0)+IF(N('APA Inputs'!$H$28)&gt;0,IF(AB$4=EDATE('APA Inputs'!$C$28,'APA Inputs'!$H$28-1),N('APA Inputs'!$G$28),0),0))*IF('APA Inputs'!$I$28="",1,'APA Inputs'!$I$28))</f>
        <v>0</v>
      </c>
      <c r="AC13" s="409" t="n">
        <f aca="false">IF('APA Inputs'!$C$28="",0,(IF(AND(AC$4&gt;='APA Inputs'!$C$28,AC$4&lt;EDATE('APA Inputs'!$C$28,N('APA Inputs'!$D$28))),'APA Inputs'!$J$28,0)+IF(N('APA Inputs'!$H$28)&gt;0,IF(AC$4=EDATE('APA Inputs'!$C$28,'APA Inputs'!$H$28-1),N('APA Inputs'!$G$28),0),0))*IF('APA Inputs'!$I$28="",1,'APA Inputs'!$I$28))</f>
        <v>0</v>
      </c>
      <c r="AD13" s="409" t="n">
        <f aca="false">IF('APA Inputs'!$C$28="",0,(IF(AND(AD$4&gt;='APA Inputs'!$C$28,AD$4&lt;EDATE('APA Inputs'!$C$28,N('APA Inputs'!$D$28))),'APA Inputs'!$J$28,0)+IF(N('APA Inputs'!$H$28)&gt;0,IF(AD$4=EDATE('APA Inputs'!$C$28,'APA Inputs'!$H$28-1),N('APA Inputs'!$G$28),0),0))*IF('APA Inputs'!$I$28="",1,'APA Inputs'!$I$28))</f>
        <v>0</v>
      </c>
      <c r="AE13" s="409" t="n">
        <f aca="false">IF('APA Inputs'!$C$28="",0,(IF(AND(AE$4&gt;='APA Inputs'!$C$28,AE$4&lt;EDATE('APA Inputs'!$C$28,N('APA Inputs'!$D$28))),'APA Inputs'!$J$28,0)+IF(N('APA Inputs'!$H$28)&gt;0,IF(AE$4=EDATE('APA Inputs'!$C$28,'APA Inputs'!$H$28-1),N('APA Inputs'!$G$28),0),0))*IF('APA Inputs'!$I$28="",1,'APA Inputs'!$I$28))</f>
        <v>0</v>
      </c>
      <c r="AF13" s="409" t="n">
        <f aca="false">IF('APA Inputs'!$C$28="",0,(IF(AND(AF$4&gt;='APA Inputs'!$C$28,AF$4&lt;EDATE('APA Inputs'!$C$28,N('APA Inputs'!$D$28))),'APA Inputs'!$J$28,0)+IF(N('APA Inputs'!$H$28)&gt;0,IF(AF$4=EDATE('APA Inputs'!$C$28,'APA Inputs'!$H$28-1),N('APA Inputs'!$G$28),0),0))*IF('APA Inputs'!$I$28="",1,'APA Inputs'!$I$28))</f>
        <v>0</v>
      </c>
      <c r="AG13" s="409" t="n">
        <f aca="false">IF('APA Inputs'!$C$28="",0,(IF(AND(AG$4&gt;='APA Inputs'!$C$28,AG$4&lt;EDATE('APA Inputs'!$C$28,N('APA Inputs'!$D$28))),'APA Inputs'!$J$28,0)+IF(N('APA Inputs'!$H$28)&gt;0,IF(AG$4=EDATE('APA Inputs'!$C$28,'APA Inputs'!$H$28-1),N('APA Inputs'!$G$28),0),0))*IF('APA Inputs'!$I$28="",1,'APA Inputs'!$I$28))</f>
        <v>0</v>
      </c>
      <c r="AH13" s="409" t="n">
        <f aca="false">IF('APA Inputs'!$C$28="",0,(IF(AND(AH$4&gt;='APA Inputs'!$C$28,AH$4&lt;EDATE('APA Inputs'!$C$28,N('APA Inputs'!$D$28))),'APA Inputs'!$J$28,0)+IF(N('APA Inputs'!$H$28)&gt;0,IF(AH$4=EDATE('APA Inputs'!$C$28,'APA Inputs'!$H$28-1),N('APA Inputs'!$G$28),0),0))*IF('APA Inputs'!$I$28="",1,'APA Inputs'!$I$28))</f>
        <v>0</v>
      </c>
      <c r="AI13" s="409" t="n">
        <f aca="false">IF('APA Inputs'!$C$28="",0,(IF(AND(AI$4&gt;='APA Inputs'!$C$28,AI$4&lt;EDATE('APA Inputs'!$C$28,N('APA Inputs'!$D$28))),'APA Inputs'!$J$28,0)+IF(N('APA Inputs'!$H$28)&gt;0,IF(AI$4=EDATE('APA Inputs'!$C$28,'APA Inputs'!$H$28-1),N('APA Inputs'!$G$28),0),0))*IF('APA Inputs'!$I$28="",1,'APA Inputs'!$I$28))</f>
        <v>0</v>
      </c>
      <c r="AJ13" s="409" t="n">
        <f aca="false">IF('APA Inputs'!$C$28="",0,(IF(AND(AJ$4&gt;='APA Inputs'!$C$28,AJ$4&lt;EDATE('APA Inputs'!$C$28,N('APA Inputs'!$D$28))),'APA Inputs'!$J$28,0)+IF(N('APA Inputs'!$H$28)&gt;0,IF(AJ$4=EDATE('APA Inputs'!$C$28,'APA Inputs'!$H$28-1),N('APA Inputs'!$G$28),0),0))*IF('APA Inputs'!$I$28="",1,'APA Inputs'!$I$28))</f>
        <v>0</v>
      </c>
      <c r="AK13" s="409" t="n">
        <f aca="false">IF('APA Inputs'!$C$28="",0,(IF(AND(AK$4&gt;='APA Inputs'!$C$28,AK$4&lt;EDATE('APA Inputs'!$C$28,N('APA Inputs'!$D$28))),'APA Inputs'!$J$28,0)+IF(N('APA Inputs'!$H$28)&gt;0,IF(AK$4=EDATE('APA Inputs'!$C$28,'APA Inputs'!$H$28-1),N('APA Inputs'!$G$28),0),0))*IF('APA Inputs'!$I$28="",1,'APA Inputs'!$I$28))</f>
        <v>0</v>
      </c>
      <c r="AL13" s="409" t="n">
        <f aca="false">IF('APA Inputs'!$C$28="",0,(IF(AND(AL$4&gt;='APA Inputs'!$C$28,AL$4&lt;EDATE('APA Inputs'!$C$28,N('APA Inputs'!$D$28))),'APA Inputs'!$J$28,0)+IF(N('APA Inputs'!$H$28)&gt;0,IF(AL$4=EDATE('APA Inputs'!$C$28,'APA Inputs'!$H$28-1),N('APA Inputs'!$G$28),0),0))*IF('APA Inputs'!$I$28="",1,'APA Inputs'!$I$28))</f>
        <v>0</v>
      </c>
      <c r="AM13" s="409" t="n">
        <f aca="false">IF('APA Inputs'!$C$28="",0,(IF(AND(AM$4&gt;='APA Inputs'!$C$28,AM$4&lt;EDATE('APA Inputs'!$C$28,N('APA Inputs'!$D$28))),'APA Inputs'!$J$28,0)+IF(N('APA Inputs'!$H$28)&gt;0,IF(AM$4=EDATE('APA Inputs'!$C$28,'APA Inputs'!$H$28-1),N('APA Inputs'!$G$28),0),0))*IF('APA Inputs'!$I$28="",1,'APA Inputs'!$I$28))</f>
        <v>0</v>
      </c>
      <c r="AN13" s="409" t="n">
        <f aca="false">IF('APA Inputs'!$C$28="",0,(IF(AND(AN$4&gt;='APA Inputs'!$C$28,AN$4&lt;EDATE('APA Inputs'!$C$28,N('APA Inputs'!$D$28))),'APA Inputs'!$J$28,0)+IF(N('APA Inputs'!$H$28)&gt;0,IF(AN$4=EDATE('APA Inputs'!$C$28,'APA Inputs'!$H$28-1),N('APA Inputs'!$G$28),0),0))*IF('APA Inputs'!$I$28="",1,'APA Inputs'!$I$28))</f>
        <v>0</v>
      </c>
      <c r="AO13" s="409" t="n">
        <f aca="false">IF('APA Inputs'!$C$28="",0,(IF(AND(AO$4&gt;='APA Inputs'!$C$28,AO$4&lt;EDATE('APA Inputs'!$C$28,N('APA Inputs'!$D$28))),'APA Inputs'!$J$28,0)+IF(N('APA Inputs'!$H$28)&gt;0,IF(AO$4=EDATE('APA Inputs'!$C$28,'APA Inputs'!$H$28-1),N('APA Inputs'!$G$28),0),0))*IF('APA Inputs'!$I$28="",1,'APA Inputs'!$I$28))</f>
        <v>0</v>
      </c>
      <c r="AP13" s="409" t="n">
        <f aca="false">IF('APA Inputs'!$C$28="",0,(IF(AND(AP$4&gt;='APA Inputs'!$C$28,AP$4&lt;EDATE('APA Inputs'!$C$28,N('APA Inputs'!$D$28))),'APA Inputs'!$J$28,0)+IF(N('APA Inputs'!$H$28)&gt;0,IF(AP$4=EDATE('APA Inputs'!$C$28,'APA Inputs'!$H$28-1),N('APA Inputs'!$G$28),0),0))*IF('APA Inputs'!$I$28="",1,'APA Inputs'!$I$28))</f>
        <v>0</v>
      </c>
      <c r="AQ13" s="409" t="n">
        <f aca="false">IF('APA Inputs'!$C$28="",0,(IF(AND(AQ$4&gt;='APA Inputs'!$C$28,AQ$4&lt;EDATE('APA Inputs'!$C$28,N('APA Inputs'!$D$28))),'APA Inputs'!$J$28,0)+IF(N('APA Inputs'!$H$28)&gt;0,IF(AQ$4=EDATE('APA Inputs'!$C$28,'APA Inputs'!$H$28-1),N('APA Inputs'!$G$28),0),0))*IF('APA Inputs'!$I$28="",1,'APA Inputs'!$I$28))</f>
        <v>0</v>
      </c>
      <c r="AR13" s="409" t="n">
        <f aca="false">IF('APA Inputs'!$C$28="",0,(IF(AND(AR$4&gt;='APA Inputs'!$C$28,AR$4&lt;EDATE('APA Inputs'!$C$28,N('APA Inputs'!$D$28))),'APA Inputs'!$J$28,0)+IF(N('APA Inputs'!$H$28)&gt;0,IF(AR$4=EDATE('APA Inputs'!$C$28,'APA Inputs'!$H$28-1),N('APA Inputs'!$G$28),0),0))*IF('APA Inputs'!$I$28="",1,'APA Inputs'!$I$28))</f>
        <v>0</v>
      </c>
      <c r="AS13" s="409" t="n">
        <f aca="false">IF('APA Inputs'!$C$28="",0,(IF(AND(AS$4&gt;='APA Inputs'!$C$28,AS$4&lt;EDATE('APA Inputs'!$C$28,N('APA Inputs'!$D$28))),'APA Inputs'!$J$28,0)+IF(N('APA Inputs'!$H$28)&gt;0,IF(AS$4=EDATE('APA Inputs'!$C$28,'APA Inputs'!$H$28-1),N('APA Inputs'!$G$28),0),0))*IF('APA Inputs'!$I$28="",1,'APA Inputs'!$I$28))</f>
        <v>0</v>
      </c>
      <c r="AT13" s="409" t="n">
        <f aca="false">IF('APA Inputs'!$C$28="",0,(IF(AND(AT$4&gt;='APA Inputs'!$C$28,AT$4&lt;EDATE('APA Inputs'!$C$28,N('APA Inputs'!$D$28))),'APA Inputs'!$J$28,0)+IF(N('APA Inputs'!$H$28)&gt;0,IF(AT$4=EDATE('APA Inputs'!$C$28,'APA Inputs'!$H$28-1),N('APA Inputs'!$G$28),0),0))*IF('APA Inputs'!$I$28="",1,'APA Inputs'!$I$28))</f>
        <v>0</v>
      </c>
      <c r="AU13" s="409" t="n">
        <f aca="false">IF('APA Inputs'!$C$28="",0,(IF(AND(AU$4&gt;='APA Inputs'!$C$28,AU$4&lt;EDATE('APA Inputs'!$C$28,N('APA Inputs'!$D$28))),'APA Inputs'!$J$28,0)+IF(N('APA Inputs'!$H$28)&gt;0,IF(AU$4=EDATE('APA Inputs'!$C$28,'APA Inputs'!$H$28-1),N('APA Inputs'!$G$28),0),0))*IF('APA Inputs'!$I$28="",1,'APA Inputs'!$I$28))</f>
        <v>0</v>
      </c>
      <c r="AV13" s="409" t="n">
        <f aca="false">IF('APA Inputs'!$C$28="",0,(IF(AND(AV$4&gt;='APA Inputs'!$C$28,AV$4&lt;EDATE('APA Inputs'!$C$28,N('APA Inputs'!$D$28))),'APA Inputs'!$J$28,0)+IF(N('APA Inputs'!$H$28)&gt;0,IF(AV$4=EDATE('APA Inputs'!$C$28,'APA Inputs'!$H$28-1),N('APA Inputs'!$G$28),0),0))*IF('APA Inputs'!$I$28="",1,'APA Inputs'!$I$28))</f>
        <v>0</v>
      </c>
      <c r="AW13" s="409" t="n">
        <f aca="false">IF('APA Inputs'!$C$28="",0,(IF(AND(AW$4&gt;='APA Inputs'!$C$28,AW$4&lt;EDATE('APA Inputs'!$C$28,N('APA Inputs'!$D$28))),'APA Inputs'!$J$28,0)+IF(N('APA Inputs'!$H$28)&gt;0,IF(AW$4=EDATE('APA Inputs'!$C$28,'APA Inputs'!$H$28-1),N('APA Inputs'!$G$28),0),0))*IF('APA Inputs'!$I$28="",1,'APA Inputs'!$I$28))</f>
        <v>0</v>
      </c>
      <c r="AX13" s="409" t="n">
        <f aca="false">IF('APA Inputs'!$C$28="",0,(IF(AND(AX$4&gt;='APA Inputs'!$C$28,AX$4&lt;EDATE('APA Inputs'!$C$28,N('APA Inputs'!$D$28))),'APA Inputs'!$J$28,0)+IF(N('APA Inputs'!$H$28)&gt;0,IF(AX$4=EDATE('APA Inputs'!$C$28,'APA Inputs'!$H$28-1),N('APA Inputs'!$G$28),0),0))*IF('APA Inputs'!$I$28="",1,'APA Inputs'!$I$28))</f>
        <v>0</v>
      </c>
      <c r="AY13" s="409" t="n">
        <f aca="false">IF('APA Inputs'!$C$28="",0,(IF(AND(AY$4&gt;='APA Inputs'!$C$28,AY$4&lt;EDATE('APA Inputs'!$C$28,N('APA Inputs'!$D$28))),'APA Inputs'!$J$28,0)+IF(N('APA Inputs'!$H$28)&gt;0,IF(AY$4=EDATE('APA Inputs'!$C$28,'APA Inputs'!$H$28-1),N('APA Inputs'!$G$28),0),0))*IF('APA Inputs'!$I$28="",1,'APA Inputs'!$I$28))</f>
        <v>0</v>
      </c>
      <c r="AZ13" s="409" t="n">
        <f aca="false">IF('APA Inputs'!$C$28="",0,(IF(AND(AZ$4&gt;='APA Inputs'!$C$28,AZ$4&lt;EDATE('APA Inputs'!$C$28,N('APA Inputs'!$D$28))),'APA Inputs'!$J$28,0)+IF(N('APA Inputs'!$H$28)&gt;0,IF(AZ$4=EDATE('APA Inputs'!$C$28,'APA Inputs'!$H$28-1),N('APA Inputs'!$G$28),0),0))*IF('APA Inputs'!$I$28="",1,'APA Inputs'!$I$28))</f>
        <v>0</v>
      </c>
      <c r="BA13" s="409" t="n">
        <f aca="false">IF('APA Inputs'!$C$28="",0,(IF(AND(BA$4&gt;='APA Inputs'!$C$28,BA$4&lt;EDATE('APA Inputs'!$C$28,N('APA Inputs'!$D$28))),'APA Inputs'!$J$28,0)+IF(N('APA Inputs'!$H$28)&gt;0,IF(BA$4=EDATE('APA Inputs'!$C$28,'APA Inputs'!$H$28-1),N('APA Inputs'!$G$28),0),0))*IF('APA Inputs'!$I$28="",1,'APA Inputs'!$I$28))</f>
        <v>0</v>
      </c>
      <c r="BB13" s="409" t="n">
        <f aca="false">IF('APA Inputs'!$C$28="",0,(IF(AND(BB$4&gt;='APA Inputs'!$C$28,BB$4&lt;EDATE('APA Inputs'!$C$28,N('APA Inputs'!$D$28))),'APA Inputs'!$J$28,0)+IF(N('APA Inputs'!$H$28)&gt;0,IF(BB$4=EDATE('APA Inputs'!$C$28,'APA Inputs'!$H$28-1),N('APA Inputs'!$G$28),0),0))*IF('APA Inputs'!$I$28="",1,'APA Inputs'!$I$28))</f>
        <v>0</v>
      </c>
      <c r="BC13" s="409" t="n">
        <f aca="false">IF('APA Inputs'!$C$28="",0,(IF(AND(BC$4&gt;='APA Inputs'!$C$28,BC$4&lt;EDATE('APA Inputs'!$C$28,N('APA Inputs'!$D$28))),'APA Inputs'!$J$28,0)+IF(N('APA Inputs'!$H$28)&gt;0,IF(BC$4=EDATE('APA Inputs'!$C$28,'APA Inputs'!$H$28-1),N('APA Inputs'!$G$28),0),0))*IF('APA Inputs'!$I$28="",1,'APA Inputs'!$I$28))</f>
        <v>0</v>
      </c>
      <c r="BD13" s="409" t="n">
        <f aca="false">IF('APA Inputs'!$C$28="",0,(IF(AND(BD$4&gt;='APA Inputs'!$C$28,BD$4&lt;EDATE('APA Inputs'!$C$28,N('APA Inputs'!$D$28))),'APA Inputs'!$J$28,0)+IF(N('APA Inputs'!$H$28)&gt;0,IF(BD$4=EDATE('APA Inputs'!$C$28,'APA Inputs'!$H$28-1),N('APA Inputs'!$G$28),0),0))*IF('APA Inputs'!$I$28="",1,'APA Inputs'!$I$28))</f>
        <v>0</v>
      </c>
      <c r="BE13" s="409" t="n">
        <f aca="false">IF('APA Inputs'!$C$28="",0,(IF(AND(BE$4&gt;='APA Inputs'!$C$28,BE$4&lt;EDATE('APA Inputs'!$C$28,N('APA Inputs'!$D$28))),'APA Inputs'!$J$28,0)+IF(N('APA Inputs'!$H$28)&gt;0,IF(BE$4=EDATE('APA Inputs'!$C$28,'APA Inputs'!$H$28-1),N('APA Inputs'!$G$28),0),0))*IF('APA Inputs'!$I$28="",1,'APA Inputs'!$I$28))</f>
        <v>0</v>
      </c>
      <c r="BF13" s="409" t="n">
        <f aca="false">IF('APA Inputs'!$C$28="",0,(IF(AND(BF$4&gt;='APA Inputs'!$C$28,BF$4&lt;EDATE('APA Inputs'!$C$28,N('APA Inputs'!$D$28))),'APA Inputs'!$J$28,0)+IF(N('APA Inputs'!$H$28)&gt;0,IF(BF$4=EDATE('APA Inputs'!$C$28,'APA Inputs'!$H$28-1),N('APA Inputs'!$G$28),0),0))*IF('APA Inputs'!$I$28="",1,'APA Inputs'!$I$28))</f>
        <v>0</v>
      </c>
      <c r="BG13" s="409" t="n">
        <f aca="false">IF('APA Inputs'!$C$28="",0,(IF(AND(BG$4&gt;='APA Inputs'!$C$28,BG$4&lt;EDATE('APA Inputs'!$C$28,N('APA Inputs'!$D$28))),'APA Inputs'!$J$28,0)+IF(N('APA Inputs'!$H$28)&gt;0,IF(BG$4=EDATE('APA Inputs'!$C$28,'APA Inputs'!$H$28-1),N('APA Inputs'!$G$28),0),0))*IF('APA Inputs'!$I$28="",1,'APA Inputs'!$I$28))</f>
        <v>0</v>
      </c>
      <c r="BH13" s="409" t="n">
        <f aca="false">IF('APA Inputs'!$C$28="",0,(IF(AND(BH$4&gt;='APA Inputs'!$C$28,BH$4&lt;EDATE('APA Inputs'!$C$28,N('APA Inputs'!$D$28))),'APA Inputs'!$J$28,0)+IF(N('APA Inputs'!$H$28)&gt;0,IF(BH$4=EDATE('APA Inputs'!$C$28,'APA Inputs'!$H$28-1),N('APA Inputs'!$G$28),0),0))*IF('APA Inputs'!$I$28="",1,'APA Inputs'!$I$28))</f>
        <v>0</v>
      </c>
      <c r="BI13" s="409" t="n">
        <f aca="false">IF('APA Inputs'!$C$28="",0,(IF(AND(BI$4&gt;='APA Inputs'!$C$28,BI$4&lt;EDATE('APA Inputs'!$C$28,N('APA Inputs'!$D$28))),'APA Inputs'!$J$28,0)+IF(N('APA Inputs'!$H$28)&gt;0,IF(BI$4=EDATE('APA Inputs'!$C$28,'APA Inputs'!$H$28-1),N('APA Inputs'!$G$28),0),0))*IF('APA Inputs'!$I$28="",1,'APA Inputs'!$I$28))</f>
        <v>0</v>
      </c>
      <c r="BJ13" s="409" t="n">
        <f aca="false">IF('APA Inputs'!$C$28="",0,(IF(AND(BJ$4&gt;='APA Inputs'!$C$28,BJ$4&lt;EDATE('APA Inputs'!$C$28,N('APA Inputs'!$D$28))),'APA Inputs'!$J$28,0)+IF(N('APA Inputs'!$H$28)&gt;0,IF(BJ$4=EDATE('APA Inputs'!$C$28,'APA Inputs'!$H$28-1),N('APA Inputs'!$G$28),0),0))*IF('APA Inputs'!$I$28="",1,'APA Inputs'!$I$28))</f>
        <v>0</v>
      </c>
      <c r="BK13" s="409" t="n">
        <f aca="false">IF('APA Inputs'!$C$28="",0,(IF(AND(BK$4&gt;='APA Inputs'!$C$28,BK$4&lt;EDATE('APA Inputs'!$C$28,N('APA Inputs'!$D$28))),'APA Inputs'!$J$28,0)+IF(N('APA Inputs'!$H$28)&gt;0,IF(BK$4=EDATE('APA Inputs'!$C$28,'APA Inputs'!$H$28-1),N('APA Inputs'!$G$28),0),0))*IF('APA Inputs'!$I$28="",1,'APA Inputs'!$I$28))</f>
        <v>0</v>
      </c>
      <c r="BL13" s="409" t="n">
        <f aca="false">IF('APA Inputs'!$C$28="",0,(IF(AND(BL$4&gt;='APA Inputs'!$C$28,BL$4&lt;EDATE('APA Inputs'!$C$28,N('APA Inputs'!$D$28))),'APA Inputs'!$J$28,0)+IF(N('APA Inputs'!$H$28)&gt;0,IF(BL$4=EDATE('APA Inputs'!$C$28,'APA Inputs'!$H$28-1),N('APA Inputs'!$G$28),0),0))*IF('APA Inputs'!$I$28="",1,'APA Inputs'!$I$28))</f>
        <v>0</v>
      </c>
      <c r="BM13" s="409" t="n">
        <f aca="false">IF('APA Inputs'!$C$28="",0,(IF(AND(BM$4&gt;='APA Inputs'!$C$28,BM$4&lt;EDATE('APA Inputs'!$C$28,N('APA Inputs'!$D$28))),'APA Inputs'!$J$28,0)+IF(N('APA Inputs'!$H$28)&gt;0,IF(BM$4=EDATE('APA Inputs'!$C$28,'APA Inputs'!$H$28-1),N('APA Inputs'!$G$28),0),0))*IF('APA Inputs'!$I$28="",1,'APA Inputs'!$I$28))</f>
        <v>0</v>
      </c>
      <c r="BN13" s="409" t="n">
        <f aca="false">IF('APA Inputs'!$C$28="",0,(IF(AND(BN$4&gt;='APA Inputs'!$C$28,BN$4&lt;EDATE('APA Inputs'!$C$28,N('APA Inputs'!$D$28))),'APA Inputs'!$J$28,0)+IF(N('APA Inputs'!$H$28)&gt;0,IF(BN$4=EDATE('APA Inputs'!$C$28,'APA Inputs'!$H$28-1),N('APA Inputs'!$G$28),0),0))*IF('APA Inputs'!$I$28="",1,'APA Inputs'!$I$28))</f>
        <v>0</v>
      </c>
      <c r="BO13" s="409" t="n">
        <f aca="false">IF('APA Inputs'!$C$28="",0,(IF(AND(BO$4&gt;='APA Inputs'!$C$28,BO$4&lt;EDATE('APA Inputs'!$C$28,N('APA Inputs'!$D$28))),'APA Inputs'!$J$28,0)+IF(N('APA Inputs'!$H$28)&gt;0,IF(BO$4=EDATE('APA Inputs'!$C$28,'APA Inputs'!$H$28-1),N('APA Inputs'!$G$28),0),0))*IF('APA Inputs'!$I$28="",1,'APA Inputs'!$I$28))</f>
        <v>0</v>
      </c>
      <c r="BP13" s="409" t="n">
        <f aca="false">IF('APA Inputs'!$C$28="",0,(IF(AND(BP$4&gt;='APA Inputs'!$C$28,BP$4&lt;EDATE('APA Inputs'!$C$28,N('APA Inputs'!$D$28))),'APA Inputs'!$J$28,0)+IF(N('APA Inputs'!$H$28)&gt;0,IF(BP$4=EDATE('APA Inputs'!$C$28,'APA Inputs'!$H$28-1),N('APA Inputs'!$G$28),0),0))*IF('APA Inputs'!$I$28="",1,'APA Inputs'!$I$28))</f>
        <v>0</v>
      </c>
      <c r="BQ13" s="409" t="n">
        <f aca="false">IF('APA Inputs'!$C$28="",0,(IF(AND(BQ$4&gt;='APA Inputs'!$C$28,BQ$4&lt;EDATE('APA Inputs'!$C$28,N('APA Inputs'!$D$28))),'APA Inputs'!$J$28,0)+IF(N('APA Inputs'!$H$28)&gt;0,IF(BQ$4=EDATE('APA Inputs'!$C$28,'APA Inputs'!$H$28-1),N('APA Inputs'!$G$28),0),0))*IF('APA Inputs'!$I$28="",1,'APA Inputs'!$I$28))</f>
        <v>0</v>
      </c>
      <c r="BR13" s="409" t="n">
        <f aca="false">IF('APA Inputs'!$C$28="",0,(IF(AND(BR$4&gt;='APA Inputs'!$C$28,BR$4&lt;EDATE('APA Inputs'!$C$28,N('APA Inputs'!$D$28))),'APA Inputs'!$J$28,0)+IF(N('APA Inputs'!$H$28)&gt;0,IF(BR$4=EDATE('APA Inputs'!$C$28,'APA Inputs'!$H$28-1),N('APA Inputs'!$G$28),0),0))*IF('APA Inputs'!$I$28="",1,'APA Inputs'!$I$28))</f>
        <v>0</v>
      </c>
      <c r="BS13" s="409" t="n">
        <f aca="false">IF('APA Inputs'!$C$28="",0,(IF(AND(BS$4&gt;='APA Inputs'!$C$28,BS$4&lt;EDATE('APA Inputs'!$C$28,N('APA Inputs'!$D$28))),'APA Inputs'!$J$28,0)+IF(N('APA Inputs'!$H$28)&gt;0,IF(BS$4=EDATE('APA Inputs'!$C$28,'APA Inputs'!$H$28-1),N('APA Inputs'!$G$28),0),0))*IF('APA Inputs'!$I$28="",1,'APA Inputs'!$I$28))</f>
        <v>0</v>
      </c>
      <c r="BT13" s="409" t="n">
        <f aca="false">IF('APA Inputs'!$C$28="",0,(IF(AND(BT$4&gt;='APA Inputs'!$C$28,BT$4&lt;EDATE('APA Inputs'!$C$28,N('APA Inputs'!$D$28))),'APA Inputs'!$J$28,0)+IF(N('APA Inputs'!$H$28)&gt;0,IF(BT$4=EDATE('APA Inputs'!$C$28,'APA Inputs'!$H$28-1),N('APA Inputs'!$G$28),0),0))*IF('APA Inputs'!$I$28="",1,'APA Inputs'!$I$28))</f>
        <v>0</v>
      </c>
      <c r="BU13" s="409" t="n">
        <f aca="false">IF('APA Inputs'!$C$28="",0,(IF(AND(BU$4&gt;='APA Inputs'!$C$28,BU$4&lt;EDATE('APA Inputs'!$C$28,N('APA Inputs'!$D$28))),'APA Inputs'!$J$28,0)+IF(N('APA Inputs'!$H$28)&gt;0,IF(BU$4=EDATE('APA Inputs'!$C$28,'APA Inputs'!$H$28-1),N('APA Inputs'!$G$28),0),0))*IF('APA Inputs'!$I$28="",1,'APA Inputs'!$I$28))</f>
        <v>0</v>
      </c>
      <c r="BV13" s="409" t="n">
        <f aca="false">IF('APA Inputs'!$C$28="",0,(IF(AND(BV$4&gt;='APA Inputs'!$C$28,BV$4&lt;EDATE('APA Inputs'!$C$28,N('APA Inputs'!$D$28))),'APA Inputs'!$J$28,0)+IF(N('APA Inputs'!$H$28)&gt;0,IF(BV$4=EDATE('APA Inputs'!$C$28,'APA Inputs'!$H$28-1),N('APA Inputs'!$G$28),0),0))*IF('APA Inputs'!$I$28="",1,'APA Inputs'!$I$28))</f>
        <v>0</v>
      </c>
      <c r="BW13" s="409" t="n">
        <f aca="false">IF('APA Inputs'!$C$28="",0,(IF(AND(BW$4&gt;='APA Inputs'!$C$28,BW$4&lt;EDATE('APA Inputs'!$C$28,N('APA Inputs'!$D$28))),'APA Inputs'!$J$28,0)+IF(N('APA Inputs'!$H$28)&gt;0,IF(BW$4=EDATE('APA Inputs'!$C$28,'APA Inputs'!$H$28-1),N('APA Inputs'!$G$28),0),0))*IF('APA Inputs'!$I$28="",1,'APA Inputs'!$I$28))</f>
        <v>0</v>
      </c>
      <c r="BX13" s="409" t="n">
        <f aca="false">IF('APA Inputs'!$C$28="",0,(IF(AND(BX$4&gt;='APA Inputs'!$C$28,BX$4&lt;EDATE('APA Inputs'!$C$28,N('APA Inputs'!$D$28))),'APA Inputs'!$J$28,0)+IF(N('APA Inputs'!$H$28)&gt;0,IF(BX$4=EDATE('APA Inputs'!$C$28,'APA Inputs'!$H$28-1),N('APA Inputs'!$G$28),0),0))*IF('APA Inputs'!$I$28="",1,'APA Inputs'!$I$28))</f>
        <v>0</v>
      </c>
      <c r="BY13" s="409" t="n">
        <f aca="false">IF('APA Inputs'!$C$28="",0,(IF(AND(BY$4&gt;='APA Inputs'!$C$28,BY$4&lt;EDATE('APA Inputs'!$C$28,N('APA Inputs'!$D$28))),'APA Inputs'!$J$28,0)+IF(N('APA Inputs'!$H$28)&gt;0,IF(BY$4=EDATE('APA Inputs'!$C$28,'APA Inputs'!$H$28-1),N('APA Inputs'!$G$28),0),0))*IF('APA Inputs'!$I$28="",1,'APA Inputs'!$I$28))</f>
        <v>0</v>
      </c>
      <c r="BZ13" s="409" t="n">
        <f aca="false">IF('APA Inputs'!$C$28="",0,(IF(AND(BZ$4&gt;='APA Inputs'!$C$28,BZ$4&lt;EDATE('APA Inputs'!$C$28,N('APA Inputs'!$D$28))),'APA Inputs'!$J$28,0)+IF(N('APA Inputs'!$H$28)&gt;0,IF(BZ$4=EDATE('APA Inputs'!$C$28,'APA Inputs'!$H$28-1),N('APA Inputs'!$G$28),0),0))*IF('APA Inputs'!$I$28="",1,'APA Inputs'!$I$28))</f>
        <v>0</v>
      </c>
      <c r="CA13" s="409" t="n">
        <f aca="false">IF('APA Inputs'!$C$28="",0,(IF(AND(CA$4&gt;='APA Inputs'!$C$28,CA$4&lt;EDATE('APA Inputs'!$C$28,N('APA Inputs'!$D$28))),'APA Inputs'!$J$28,0)+IF(N('APA Inputs'!$H$28)&gt;0,IF(CA$4=EDATE('APA Inputs'!$C$28,'APA Inputs'!$H$28-1),N('APA Inputs'!$G$28),0),0))*IF('APA Inputs'!$I$28="",1,'APA Inputs'!$I$28))</f>
        <v>0</v>
      </c>
      <c r="CB13" s="409" t="n">
        <f aca="false">IF('APA Inputs'!$C$28="",0,(IF(AND(CB$4&gt;='APA Inputs'!$C$28,CB$4&lt;EDATE('APA Inputs'!$C$28,N('APA Inputs'!$D$28))),'APA Inputs'!$J$28,0)+IF(N('APA Inputs'!$H$28)&gt;0,IF(CB$4=EDATE('APA Inputs'!$C$28,'APA Inputs'!$H$28-1),N('APA Inputs'!$G$28),0),0))*IF('APA Inputs'!$I$28="",1,'APA Inputs'!$I$28))</f>
        <v>0</v>
      </c>
      <c r="CC13" s="409" t="n">
        <f aca="false">IF('APA Inputs'!$C$28="",0,(IF(AND(CC$4&gt;='APA Inputs'!$C$28,CC$4&lt;EDATE('APA Inputs'!$C$28,N('APA Inputs'!$D$28))),'APA Inputs'!$J$28,0)+IF(N('APA Inputs'!$H$28)&gt;0,IF(CC$4=EDATE('APA Inputs'!$C$28,'APA Inputs'!$H$28-1),N('APA Inputs'!$G$28),0),0))*IF('APA Inputs'!$I$28="",1,'APA Inputs'!$I$28))</f>
        <v>0</v>
      </c>
      <c r="CD13" s="409" t="n">
        <f aca="false">IF('APA Inputs'!$C$28="",0,(IF(AND(CD$4&gt;='APA Inputs'!$C$28,CD$4&lt;EDATE('APA Inputs'!$C$28,N('APA Inputs'!$D$28))),'APA Inputs'!$J$28,0)+IF(N('APA Inputs'!$H$28)&gt;0,IF(CD$4=EDATE('APA Inputs'!$C$28,'APA Inputs'!$H$28-1),N('APA Inputs'!$G$28),0),0))*IF('APA Inputs'!$I$28="",1,'APA Inputs'!$I$28))</f>
        <v>0</v>
      </c>
      <c r="CE13" s="409" t="n">
        <f aca="false">IF('APA Inputs'!$C$28="",0,(IF(AND(CE$4&gt;='APA Inputs'!$C$28,CE$4&lt;EDATE('APA Inputs'!$C$28,N('APA Inputs'!$D$28))),'APA Inputs'!$J$28,0)+IF(N('APA Inputs'!$H$28)&gt;0,IF(CE$4=EDATE('APA Inputs'!$C$28,'APA Inputs'!$H$28-1),N('APA Inputs'!$G$28),0),0))*IF('APA Inputs'!$I$28="",1,'APA Inputs'!$I$28))</f>
        <v>0</v>
      </c>
      <c r="CF13" s="409" t="n">
        <f aca="false">IF('APA Inputs'!$C$28="",0,(IF(AND(CF$4&gt;='APA Inputs'!$C$28,CF$4&lt;EDATE('APA Inputs'!$C$28,N('APA Inputs'!$D$28))),'APA Inputs'!$J$28,0)+IF(N('APA Inputs'!$H$28)&gt;0,IF(CF$4=EDATE('APA Inputs'!$C$28,'APA Inputs'!$H$28-1),N('APA Inputs'!$G$28),0),0))*IF('APA Inputs'!$I$28="",1,'APA Inputs'!$I$28))</f>
        <v>0</v>
      </c>
      <c r="CG13" s="409" t="n">
        <f aca="false">IF('APA Inputs'!$C$28="",0,(IF(AND(CG$4&gt;='APA Inputs'!$C$28,CG$4&lt;EDATE('APA Inputs'!$C$28,N('APA Inputs'!$D$28))),'APA Inputs'!$J$28,0)+IF(N('APA Inputs'!$H$28)&gt;0,IF(CG$4=EDATE('APA Inputs'!$C$28,'APA Inputs'!$H$28-1),N('APA Inputs'!$G$28),0),0))*IF('APA Inputs'!$I$28="",1,'APA Inputs'!$I$28))</f>
        <v>0</v>
      </c>
      <c r="CH13" s="409" t="n">
        <f aca="false">IF('APA Inputs'!$C$28="",0,(IF(AND(CH$4&gt;='APA Inputs'!$C$28,CH$4&lt;EDATE('APA Inputs'!$C$28,N('APA Inputs'!$D$28))),'APA Inputs'!$J$28,0)+IF(N('APA Inputs'!$H$28)&gt;0,IF(CH$4=EDATE('APA Inputs'!$C$28,'APA Inputs'!$H$28-1),N('APA Inputs'!$G$28),0),0))*IF('APA Inputs'!$I$28="",1,'APA Inputs'!$I$28))</f>
        <v>0</v>
      </c>
      <c r="CI13" s="409" t="n">
        <f aca="false">IF('APA Inputs'!$C$28="",0,(IF(AND(CI$4&gt;='APA Inputs'!$C$28,CI$4&lt;EDATE('APA Inputs'!$C$28,N('APA Inputs'!$D$28))),'APA Inputs'!$J$28,0)+IF(N('APA Inputs'!$H$28)&gt;0,IF(CI$4=EDATE('APA Inputs'!$C$28,'APA Inputs'!$H$28-1),N('APA Inputs'!$G$28),0),0))*IF('APA Inputs'!$I$28="",1,'APA Inputs'!$I$28))</f>
        <v>0</v>
      </c>
      <c r="CJ13" s="409" t="n">
        <f aca="false">IF('APA Inputs'!$C$28="",0,(IF(AND(CJ$4&gt;='APA Inputs'!$C$28,CJ$4&lt;EDATE('APA Inputs'!$C$28,N('APA Inputs'!$D$28))),'APA Inputs'!$J$28,0)+IF(N('APA Inputs'!$H$28)&gt;0,IF(CJ$4=EDATE('APA Inputs'!$C$28,'APA Inputs'!$H$28-1),N('APA Inputs'!$G$28),0),0))*IF('APA Inputs'!$I$28="",1,'APA Inputs'!$I$28))</f>
        <v>0</v>
      </c>
      <c r="CK13" s="409" t="n">
        <f aca="false">IF('APA Inputs'!$C$28="",0,(IF(AND(CK$4&gt;='APA Inputs'!$C$28,CK$4&lt;EDATE('APA Inputs'!$C$28,N('APA Inputs'!$D$28))),'APA Inputs'!$J$28,0)+IF(N('APA Inputs'!$H$28)&gt;0,IF(CK$4=EDATE('APA Inputs'!$C$28,'APA Inputs'!$H$28-1),N('APA Inputs'!$G$28),0),0))*IF('APA Inputs'!$I$28="",1,'APA Inputs'!$I$28))</f>
        <v>0</v>
      </c>
      <c r="CL13" s="409" t="n">
        <f aca="false">IF('APA Inputs'!$C$28="",0,(IF(AND(CL$4&gt;='APA Inputs'!$C$28,CL$4&lt;EDATE('APA Inputs'!$C$28,N('APA Inputs'!$D$28))),'APA Inputs'!$J$28,0)+IF(N('APA Inputs'!$H$28)&gt;0,IF(CL$4=EDATE('APA Inputs'!$C$28,'APA Inputs'!$H$28-1),N('APA Inputs'!$G$28),0),0))*IF('APA Inputs'!$I$28="",1,'APA Inputs'!$I$28))</f>
        <v>0</v>
      </c>
      <c r="CM13" s="409" t="n">
        <f aca="false">IF('APA Inputs'!$C$28="",0,(IF(AND(CM$4&gt;='APA Inputs'!$C$28,CM$4&lt;EDATE('APA Inputs'!$C$28,N('APA Inputs'!$D$28))),'APA Inputs'!$J$28,0)+IF(N('APA Inputs'!$H$28)&gt;0,IF(CM$4=EDATE('APA Inputs'!$C$28,'APA Inputs'!$H$28-1),N('APA Inputs'!$G$28),0),0))*IF('APA Inputs'!$I$28="",1,'APA Inputs'!$I$28))</f>
        <v>0</v>
      </c>
      <c r="CN13" s="409" t="n">
        <f aca="false">IF('APA Inputs'!$C$28="",0,(IF(AND(CN$4&gt;='APA Inputs'!$C$28,CN$4&lt;EDATE('APA Inputs'!$C$28,N('APA Inputs'!$D$28))),'APA Inputs'!$J$28,0)+IF(N('APA Inputs'!$H$28)&gt;0,IF(CN$4=EDATE('APA Inputs'!$C$28,'APA Inputs'!$H$28-1),N('APA Inputs'!$G$28),0),0))*IF('APA Inputs'!$I$28="",1,'APA Inputs'!$I$28))</f>
        <v>0</v>
      </c>
      <c r="CO13" s="409" t="n">
        <f aca="false">IF('APA Inputs'!$C$28="",0,(IF(AND(CO$4&gt;='APA Inputs'!$C$28,CO$4&lt;EDATE('APA Inputs'!$C$28,N('APA Inputs'!$D$28))),'APA Inputs'!$J$28,0)+IF(N('APA Inputs'!$H$28)&gt;0,IF(CO$4=EDATE('APA Inputs'!$C$28,'APA Inputs'!$H$28-1),N('APA Inputs'!$G$28),0),0))*IF('APA Inputs'!$I$28="",1,'APA Inputs'!$I$28))</f>
        <v>0</v>
      </c>
      <c r="CP13" s="409" t="n">
        <f aca="false">IF('APA Inputs'!$C$28="",0,(IF(AND(CP$4&gt;='APA Inputs'!$C$28,CP$4&lt;EDATE('APA Inputs'!$C$28,N('APA Inputs'!$D$28))),'APA Inputs'!$J$28,0)+IF(N('APA Inputs'!$H$28)&gt;0,IF(CP$4=EDATE('APA Inputs'!$C$28,'APA Inputs'!$H$28-1),N('APA Inputs'!$G$28),0),0))*IF('APA Inputs'!$I$28="",1,'APA Inputs'!$I$28))</f>
        <v>0</v>
      </c>
      <c r="CQ13" s="409" t="n">
        <f aca="false">IF('APA Inputs'!$C$28="",0,(IF(AND(CQ$4&gt;='APA Inputs'!$C$28,CQ$4&lt;EDATE('APA Inputs'!$C$28,N('APA Inputs'!$D$28))),'APA Inputs'!$J$28,0)+IF(N('APA Inputs'!$H$28)&gt;0,IF(CQ$4=EDATE('APA Inputs'!$C$28,'APA Inputs'!$H$28-1),N('APA Inputs'!$G$28),0),0))*IF('APA Inputs'!$I$28="",1,'APA Inputs'!$I$28))</f>
        <v>0</v>
      </c>
      <c r="CR13" s="409" t="n">
        <f aca="false">IF('APA Inputs'!$C$28="",0,(IF(AND(CR$4&gt;='APA Inputs'!$C$28,CR$4&lt;EDATE('APA Inputs'!$C$28,N('APA Inputs'!$D$28))),'APA Inputs'!$J$28,0)+IF(N('APA Inputs'!$H$28)&gt;0,IF(CR$4=EDATE('APA Inputs'!$C$28,'APA Inputs'!$H$28-1),N('APA Inputs'!$G$28),0),0))*IF('APA Inputs'!$I$28="",1,'APA Inputs'!$I$28))</f>
        <v>0</v>
      </c>
      <c r="CS13" s="409" t="n">
        <f aca="false">IF('APA Inputs'!$C$28="",0,(IF(AND(CS$4&gt;='APA Inputs'!$C$28,CS$4&lt;EDATE('APA Inputs'!$C$28,N('APA Inputs'!$D$28))),'APA Inputs'!$J$28,0)+IF(N('APA Inputs'!$H$28)&gt;0,IF(CS$4=EDATE('APA Inputs'!$C$28,'APA Inputs'!$H$28-1),N('APA Inputs'!$G$28),0),0))*IF('APA Inputs'!$I$28="",1,'APA Inputs'!$I$28))</f>
        <v>0</v>
      </c>
      <c r="CT13" s="409" t="n">
        <f aca="false">IF('APA Inputs'!$C$28="",0,(IF(AND(CT$4&gt;='APA Inputs'!$C$28,CT$4&lt;EDATE('APA Inputs'!$C$28,N('APA Inputs'!$D$28))),'APA Inputs'!$J$28,0)+IF(N('APA Inputs'!$H$28)&gt;0,IF(CT$4=EDATE('APA Inputs'!$C$28,'APA Inputs'!$H$28-1),N('APA Inputs'!$G$28),0),0))*IF('APA Inputs'!$I$28="",1,'APA Inputs'!$I$28))</f>
        <v>0</v>
      </c>
      <c r="CU13" s="409" t="n">
        <f aca="false">IF('APA Inputs'!$C$28="",0,(IF(AND(CU$4&gt;='APA Inputs'!$C$28,CU$4&lt;EDATE('APA Inputs'!$C$28,N('APA Inputs'!$D$28))),'APA Inputs'!$J$28,0)+IF(N('APA Inputs'!$H$28)&gt;0,IF(CU$4=EDATE('APA Inputs'!$C$28,'APA Inputs'!$H$28-1),N('APA Inputs'!$G$28),0),0))*IF('APA Inputs'!$I$28="",1,'APA Inputs'!$I$28))</f>
        <v>0</v>
      </c>
      <c r="CV13" s="409" t="n">
        <f aca="false">IF('APA Inputs'!$C$28="",0,(IF(AND(CV$4&gt;='APA Inputs'!$C$28,CV$4&lt;EDATE('APA Inputs'!$C$28,N('APA Inputs'!$D$28))),'APA Inputs'!$J$28,0)+IF(N('APA Inputs'!$H$28)&gt;0,IF(CV$4=EDATE('APA Inputs'!$C$28,'APA Inputs'!$H$28-1),N('APA Inputs'!$G$28),0),0))*IF('APA Inputs'!$I$28="",1,'APA Inputs'!$I$28))</f>
        <v>0</v>
      </c>
      <c r="CW13" s="409" t="n">
        <f aca="false">IF('APA Inputs'!$C$28="",0,(IF(AND(CW$4&gt;='APA Inputs'!$C$28,CW$4&lt;EDATE('APA Inputs'!$C$28,N('APA Inputs'!$D$28))),'APA Inputs'!$J$28,0)+IF(N('APA Inputs'!$H$28)&gt;0,IF(CW$4=EDATE('APA Inputs'!$C$28,'APA Inputs'!$H$28-1),N('APA Inputs'!$G$28),0),0))*IF('APA Inputs'!$I$28="",1,'APA Inputs'!$I$28))</f>
        <v>0</v>
      </c>
      <c r="CX13" s="409" t="n">
        <f aca="false">IF('APA Inputs'!$C$28="",0,(IF(AND(CX$4&gt;='APA Inputs'!$C$28,CX$4&lt;EDATE('APA Inputs'!$C$28,N('APA Inputs'!$D$28))),'APA Inputs'!$J$28,0)+IF(N('APA Inputs'!$H$28)&gt;0,IF(CX$4=EDATE('APA Inputs'!$C$28,'APA Inputs'!$H$28-1),N('APA Inputs'!$G$28),0),0))*IF('APA Inputs'!$I$28="",1,'APA Inputs'!$I$28))</f>
        <v>0</v>
      </c>
      <c r="CY13" s="409" t="n">
        <f aca="false">IF('APA Inputs'!$C$28="",0,(IF(AND(CY$4&gt;='APA Inputs'!$C$28,CY$4&lt;EDATE('APA Inputs'!$C$28,N('APA Inputs'!$D$28))),'APA Inputs'!$J$28,0)+IF(N('APA Inputs'!$H$28)&gt;0,IF(CY$4=EDATE('APA Inputs'!$C$28,'APA Inputs'!$H$28-1),N('APA Inputs'!$G$28),0),0))*IF('APA Inputs'!$I$28="",1,'APA Inputs'!$I$28))</f>
        <v>0</v>
      </c>
      <c r="CZ13" s="409" t="n">
        <f aca="false">IF('APA Inputs'!$C$28="",0,(IF(AND(CZ$4&gt;='APA Inputs'!$C$28,CZ$4&lt;EDATE('APA Inputs'!$C$28,N('APA Inputs'!$D$28))),'APA Inputs'!$J$28,0)+IF(N('APA Inputs'!$H$28)&gt;0,IF(CZ$4=EDATE('APA Inputs'!$C$28,'APA Inputs'!$H$28-1),N('APA Inputs'!$G$28),0),0))*IF('APA Inputs'!$I$28="",1,'APA Inputs'!$I$28))</f>
        <v>0</v>
      </c>
      <c r="DA13" s="409" t="n">
        <f aca="false">IF('APA Inputs'!$C$28="",0,(IF(AND(DA$4&gt;='APA Inputs'!$C$28,DA$4&lt;EDATE('APA Inputs'!$C$28,N('APA Inputs'!$D$28))),'APA Inputs'!$J$28,0)+IF(N('APA Inputs'!$H$28)&gt;0,IF(DA$4=EDATE('APA Inputs'!$C$28,'APA Inputs'!$H$28-1),N('APA Inputs'!$G$28),0),0))*IF('APA Inputs'!$I$28="",1,'APA Inputs'!$I$28))</f>
        <v>0</v>
      </c>
      <c r="DB13" s="409" t="n">
        <f aca="false">IF('APA Inputs'!$C$28="",0,(IF(AND(DB$4&gt;='APA Inputs'!$C$28,DB$4&lt;EDATE('APA Inputs'!$C$28,N('APA Inputs'!$D$28))),'APA Inputs'!$J$28,0)+IF(N('APA Inputs'!$H$28)&gt;0,IF(DB$4=EDATE('APA Inputs'!$C$28,'APA Inputs'!$H$28-1),N('APA Inputs'!$G$28),0),0))*IF('APA Inputs'!$I$28="",1,'APA Inputs'!$I$28))</f>
        <v>0</v>
      </c>
      <c r="DC13" s="409" t="n">
        <f aca="false">IF('APA Inputs'!$C$28="",0,(IF(AND(DC$4&gt;='APA Inputs'!$C$28,DC$4&lt;EDATE('APA Inputs'!$C$28,N('APA Inputs'!$D$28))),'APA Inputs'!$J$28,0)+IF(N('APA Inputs'!$H$28)&gt;0,IF(DC$4=EDATE('APA Inputs'!$C$28,'APA Inputs'!$H$28-1),N('APA Inputs'!$G$28),0),0))*IF('APA Inputs'!$I$28="",1,'APA Inputs'!$I$28))</f>
        <v>0</v>
      </c>
      <c r="DD13" s="409" t="n">
        <f aca="false">IF('APA Inputs'!$C$28="",0,(IF(AND(DD$4&gt;='APA Inputs'!$C$28,DD$4&lt;EDATE('APA Inputs'!$C$28,N('APA Inputs'!$D$28))),'APA Inputs'!$J$28,0)+IF(N('APA Inputs'!$H$28)&gt;0,IF(DD$4=EDATE('APA Inputs'!$C$28,'APA Inputs'!$H$28-1),N('APA Inputs'!$G$28),0),0))*IF('APA Inputs'!$I$28="",1,'APA Inputs'!$I$28))</f>
        <v>0</v>
      </c>
      <c r="DE13" s="40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09" t="n">
        <f aca="false">IF('APA Inputs'!$C$29="",0,(IF(AND(B$4&gt;='APA Inputs'!$C$29,B$4&lt;EDATE('APA Inputs'!$C$29,N('APA Inputs'!$D$29))),'APA Inputs'!$J$29,0)+IF(N('APA Inputs'!$H$29)&gt;0,IF(B$4=EDATE('APA Inputs'!$C$29,'APA Inputs'!$H$29-1),N('APA Inputs'!$G$29),0),0))*IF('APA Inputs'!$I$29="",1,'APA Inputs'!$I$29))</f>
        <v>0</v>
      </c>
      <c r="C14" s="409" t="n">
        <f aca="false">IF('APA Inputs'!$C$29="",0,(IF(AND(C$4&gt;='APA Inputs'!$C$29,C$4&lt;EDATE('APA Inputs'!$C$29,N('APA Inputs'!$D$29))),'APA Inputs'!$J$29,0)+IF(N('APA Inputs'!$H$29)&gt;0,IF(C$4=EDATE('APA Inputs'!$C$29,'APA Inputs'!$H$29-1),N('APA Inputs'!$G$29),0),0))*IF('APA Inputs'!$I$29="",1,'APA Inputs'!$I$29))</f>
        <v>0</v>
      </c>
      <c r="D14" s="409" t="n">
        <f aca="false">IF('APA Inputs'!$C$29="",0,(IF(AND(D$4&gt;='APA Inputs'!$C$29,D$4&lt;EDATE('APA Inputs'!$C$29,N('APA Inputs'!$D$29))),'APA Inputs'!$J$29,0)+IF(N('APA Inputs'!$H$29)&gt;0,IF(D$4=EDATE('APA Inputs'!$C$29,'APA Inputs'!$H$29-1),N('APA Inputs'!$G$29),0),0))*IF('APA Inputs'!$I$29="",1,'APA Inputs'!$I$29))</f>
        <v>0</v>
      </c>
      <c r="E14" s="409" t="n">
        <f aca="false">IF('APA Inputs'!$C$29="",0,(IF(AND(E$4&gt;='APA Inputs'!$C$29,E$4&lt;EDATE('APA Inputs'!$C$29,N('APA Inputs'!$D$29))),'APA Inputs'!$J$29,0)+IF(N('APA Inputs'!$H$29)&gt;0,IF(E$4=EDATE('APA Inputs'!$C$29,'APA Inputs'!$H$29-1),N('APA Inputs'!$G$29),0),0))*IF('APA Inputs'!$I$29="",1,'APA Inputs'!$I$29))</f>
        <v>0</v>
      </c>
      <c r="F14" s="409" t="n">
        <f aca="false">IF('APA Inputs'!$C$29="",0,(IF(AND(F$4&gt;='APA Inputs'!$C$29,F$4&lt;EDATE('APA Inputs'!$C$29,N('APA Inputs'!$D$29))),'APA Inputs'!$J$29,0)+IF(N('APA Inputs'!$H$29)&gt;0,IF(F$4=EDATE('APA Inputs'!$C$29,'APA Inputs'!$H$29-1),N('APA Inputs'!$G$29),0),0))*IF('APA Inputs'!$I$29="",1,'APA Inputs'!$I$29))</f>
        <v>0</v>
      </c>
      <c r="G14" s="409" t="n">
        <f aca="false">IF('APA Inputs'!$C$29="",0,(IF(AND(G$4&gt;='APA Inputs'!$C$29,G$4&lt;EDATE('APA Inputs'!$C$29,N('APA Inputs'!$D$29))),'APA Inputs'!$J$29,0)+IF(N('APA Inputs'!$H$29)&gt;0,IF(G$4=EDATE('APA Inputs'!$C$29,'APA Inputs'!$H$29-1),N('APA Inputs'!$G$29),0),0))*IF('APA Inputs'!$I$29="",1,'APA Inputs'!$I$29))</f>
        <v>0</v>
      </c>
      <c r="H14" s="409" t="n">
        <f aca="false">IF('APA Inputs'!$C$29="",0,(IF(AND(H$4&gt;='APA Inputs'!$C$29,H$4&lt;EDATE('APA Inputs'!$C$29,N('APA Inputs'!$D$29))),'APA Inputs'!$J$29,0)+IF(N('APA Inputs'!$H$29)&gt;0,IF(H$4=EDATE('APA Inputs'!$C$29,'APA Inputs'!$H$29-1),N('APA Inputs'!$G$29),0),0))*IF('APA Inputs'!$I$29="",1,'APA Inputs'!$I$29))</f>
        <v>0</v>
      </c>
      <c r="I14" s="409" t="n">
        <f aca="false">IF('APA Inputs'!$C$29="",0,(IF(AND(I$4&gt;='APA Inputs'!$C$29,I$4&lt;EDATE('APA Inputs'!$C$29,N('APA Inputs'!$D$29))),'APA Inputs'!$J$29,0)+IF(N('APA Inputs'!$H$29)&gt;0,IF(I$4=EDATE('APA Inputs'!$C$29,'APA Inputs'!$H$29-1),N('APA Inputs'!$G$29),0),0))*IF('APA Inputs'!$I$29="",1,'APA Inputs'!$I$29))</f>
        <v>0</v>
      </c>
      <c r="J14" s="409" t="n">
        <f aca="false">IF('APA Inputs'!$C$29="",0,(IF(AND(J$4&gt;='APA Inputs'!$C$29,J$4&lt;EDATE('APA Inputs'!$C$29,N('APA Inputs'!$D$29))),'APA Inputs'!$J$29,0)+IF(N('APA Inputs'!$H$29)&gt;0,IF(J$4=EDATE('APA Inputs'!$C$29,'APA Inputs'!$H$29-1),N('APA Inputs'!$G$29),0),0))*IF('APA Inputs'!$I$29="",1,'APA Inputs'!$I$29))</f>
        <v>0</v>
      </c>
      <c r="K14" s="409" t="n">
        <f aca="false">IF('APA Inputs'!$C$29="",0,(IF(AND(K$4&gt;='APA Inputs'!$C$29,K$4&lt;EDATE('APA Inputs'!$C$29,N('APA Inputs'!$D$29))),'APA Inputs'!$J$29,0)+IF(N('APA Inputs'!$H$29)&gt;0,IF(K$4=EDATE('APA Inputs'!$C$29,'APA Inputs'!$H$29-1),N('APA Inputs'!$G$29),0),0))*IF('APA Inputs'!$I$29="",1,'APA Inputs'!$I$29))</f>
        <v>0</v>
      </c>
      <c r="L14" s="409" t="n">
        <f aca="false">IF('APA Inputs'!$C$29="",0,(IF(AND(L$4&gt;='APA Inputs'!$C$29,L$4&lt;EDATE('APA Inputs'!$C$29,N('APA Inputs'!$D$29))),'APA Inputs'!$J$29,0)+IF(N('APA Inputs'!$H$29)&gt;0,IF(L$4=EDATE('APA Inputs'!$C$29,'APA Inputs'!$H$29-1),N('APA Inputs'!$G$29),0),0))*IF('APA Inputs'!$I$29="",1,'APA Inputs'!$I$29))</f>
        <v>0</v>
      </c>
      <c r="M14" s="409" t="n">
        <f aca="false">IF('APA Inputs'!$C$29="",0,(IF(AND(M$4&gt;='APA Inputs'!$C$29,M$4&lt;EDATE('APA Inputs'!$C$29,N('APA Inputs'!$D$29))),'APA Inputs'!$J$29,0)+IF(N('APA Inputs'!$H$29)&gt;0,IF(M$4=EDATE('APA Inputs'!$C$29,'APA Inputs'!$H$29-1),N('APA Inputs'!$G$29),0),0))*IF('APA Inputs'!$I$29="",1,'APA Inputs'!$I$29))</f>
        <v>0</v>
      </c>
      <c r="N14" s="409" t="n">
        <f aca="false">IF('APA Inputs'!$C$29="",0,(IF(AND(N$4&gt;='APA Inputs'!$C$29,N$4&lt;EDATE('APA Inputs'!$C$29,N('APA Inputs'!$D$29))),'APA Inputs'!$J$29,0)+IF(N('APA Inputs'!$H$29)&gt;0,IF(N$4=EDATE('APA Inputs'!$C$29,'APA Inputs'!$H$29-1),N('APA Inputs'!$G$29),0),0))*IF('APA Inputs'!$I$29="",1,'APA Inputs'!$I$29))</f>
        <v>0</v>
      </c>
      <c r="O14" s="409" t="n">
        <f aca="false">IF('APA Inputs'!$C$29="",0,(IF(AND(O$4&gt;='APA Inputs'!$C$29,O$4&lt;EDATE('APA Inputs'!$C$29,N('APA Inputs'!$D$29))),'APA Inputs'!$J$29,0)+IF(N('APA Inputs'!$H$29)&gt;0,IF(O$4=EDATE('APA Inputs'!$C$29,'APA Inputs'!$H$29-1),N('APA Inputs'!$G$29),0),0))*IF('APA Inputs'!$I$29="",1,'APA Inputs'!$I$29))</f>
        <v>0</v>
      </c>
      <c r="P14" s="409" t="n">
        <f aca="false">IF('APA Inputs'!$C$29="",0,(IF(AND(P$4&gt;='APA Inputs'!$C$29,P$4&lt;EDATE('APA Inputs'!$C$29,N('APA Inputs'!$D$29))),'APA Inputs'!$J$29,0)+IF(N('APA Inputs'!$H$29)&gt;0,IF(P$4=EDATE('APA Inputs'!$C$29,'APA Inputs'!$H$29-1),N('APA Inputs'!$G$29),0),0))*IF('APA Inputs'!$I$29="",1,'APA Inputs'!$I$29))</f>
        <v>0</v>
      </c>
      <c r="Q14" s="409" t="n">
        <f aca="false">IF('APA Inputs'!$C$29="",0,(IF(AND(Q$4&gt;='APA Inputs'!$C$29,Q$4&lt;EDATE('APA Inputs'!$C$29,N('APA Inputs'!$D$29))),'APA Inputs'!$J$29,0)+IF(N('APA Inputs'!$H$29)&gt;0,IF(Q$4=EDATE('APA Inputs'!$C$29,'APA Inputs'!$H$29-1),N('APA Inputs'!$G$29),0),0))*IF('APA Inputs'!$I$29="",1,'APA Inputs'!$I$29))</f>
        <v>0</v>
      </c>
      <c r="R14" s="409" t="n">
        <f aca="false">IF('APA Inputs'!$C$29="",0,(IF(AND(R$4&gt;='APA Inputs'!$C$29,R$4&lt;EDATE('APA Inputs'!$C$29,N('APA Inputs'!$D$29))),'APA Inputs'!$J$29,0)+IF(N('APA Inputs'!$H$29)&gt;0,IF(R$4=EDATE('APA Inputs'!$C$29,'APA Inputs'!$H$29-1),N('APA Inputs'!$G$29),0),0))*IF('APA Inputs'!$I$29="",1,'APA Inputs'!$I$29))</f>
        <v>0</v>
      </c>
      <c r="S14" s="409" t="n">
        <f aca="false">IF('APA Inputs'!$C$29="",0,(IF(AND(S$4&gt;='APA Inputs'!$C$29,S$4&lt;EDATE('APA Inputs'!$C$29,N('APA Inputs'!$D$29))),'APA Inputs'!$J$29,0)+IF(N('APA Inputs'!$H$29)&gt;0,IF(S$4=EDATE('APA Inputs'!$C$29,'APA Inputs'!$H$29-1),N('APA Inputs'!$G$29),0),0))*IF('APA Inputs'!$I$29="",1,'APA Inputs'!$I$29))</f>
        <v>0</v>
      </c>
      <c r="T14" s="409" t="n">
        <f aca="false">IF('APA Inputs'!$C$29="",0,(IF(AND(T$4&gt;='APA Inputs'!$C$29,T$4&lt;EDATE('APA Inputs'!$C$29,N('APA Inputs'!$D$29))),'APA Inputs'!$J$29,0)+IF(N('APA Inputs'!$H$29)&gt;0,IF(T$4=EDATE('APA Inputs'!$C$29,'APA Inputs'!$H$29-1),N('APA Inputs'!$G$29),0),0))*IF('APA Inputs'!$I$29="",1,'APA Inputs'!$I$29))</f>
        <v>0</v>
      </c>
      <c r="U14" s="409" t="n">
        <f aca="false">IF('APA Inputs'!$C$29="",0,(IF(AND(U$4&gt;='APA Inputs'!$C$29,U$4&lt;EDATE('APA Inputs'!$C$29,N('APA Inputs'!$D$29))),'APA Inputs'!$J$29,0)+IF(N('APA Inputs'!$H$29)&gt;0,IF(U$4=EDATE('APA Inputs'!$C$29,'APA Inputs'!$H$29-1),N('APA Inputs'!$G$29),0),0))*IF('APA Inputs'!$I$29="",1,'APA Inputs'!$I$29))</f>
        <v>0</v>
      </c>
      <c r="V14" s="409" t="n">
        <f aca="false">IF('APA Inputs'!$C$29="",0,(IF(AND(V$4&gt;='APA Inputs'!$C$29,V$4&lt;EDATE('APA Inputs'!$C$29,N('APA Inputs'!$D$29))),'APA Inputs'!$J$29,0)+IF(N('APA Inputs'!$H$29)&gt;0,IF(V$4=EDATE('APA Inputs'!$C$29,'APA Inputs'!$H$29-1),N('APA Inputs'!$G$29),0),0))*IF('APA Inputs'!$I$29="",1,'APA Inputs'!$I$29))</f>
        <v>0</v>
      </c>
      <c r="W14" s="409" t="n">
        <f aca="false">IF('APA Inputs'!$C$29="",0,(IF(AND(W$4&gt;='APA Inputs'!$C$29,W$4&lt;EDATE('APA Inputs'!$C$29,N('APA Inputs'!$D$29))),'APA Inputs'!$J$29,0)+IF(N('APA Inputs'!$H$29)&gt;0,IF(W$4=EDATE('APA Inputs'!$C$29,'APA Inputs'!$H$29-1),N('APA Inputs'!$G$29),0),0))*IF('APA Inputs'!$I$29="",1,'APA Inputs'!$I$29))</f>
        <v>0</v>
      </c>
      <c r="X14" s="409" t="n">
        <f aca="false">IF('APA Inputs'!$C$29="",0,(IF(AND(X$4&gt;='APA Inputs'!$C$29,X$4&lt;EDATE('APA Inputs'!$C$29,N('APA Inputs'!$D$29))),'APA Inputs'!$J$29,0)+IF(N('APA Inputs'!$H$29)&gt;0,IF(X$4=EDATE('APA Inputs'!$C$29,'APA Inputs'!$H$29-1),N('APA Inputs'!$G$29),0),0))*IF('APA Inputs'!$I$29="",1,'APA Inputs'!$I$29))</f>
        <v>0</v>
      </c>
      <c r="Y14" s="409" t="n">
        <f aca="false">IF('APA Inputs'!$C$29="",0,(IF(AND(Y$4&gt;='APA Inputs'!$C$29,Y$4&lt;EDATE('APA Inputs'!$C$29,N('APA Inputs'!$D$29))),'APA Inputs'!$J$29,0)+IF(N('APA Inputs'!$H$29)&gt;0,IF(Y$4=EDATE('APA Inputs'!$C$29,'APA Inputs'!$H$29-1),N('APA Inputs'!$G$29),0),0))*IF('APA Inputs'!$I$29="",1,'APA Inputs'!$I$29))</f>
        <v>0</v>
      </c>
      <c r="Z14" s="409" t="n">
        <f aca="false">IF('APA Inputs'!$C$29="",0,(IF(AND(Z$4&gt;='APA Inputs'!$C$29,Z$4&lt;EDATE('APA Inputs'!$C$29,N('APA Inputs'!$D$29))),'APA Inputs'!$J$29,0)+IF(N('APA Inputs'!$H$29)&gt;0,IF(Z$4=EDATE('APA Inputs'!$C$29,'APA Inputs'!$H$29-1),N('APA Inputs'!$G$29),0),0))*IF('APA Inputs'!$I$29="",1,'APA Inputs'!$I$29))</f>
        <v>0</v>
      </c>
      <c r="AA14" s="409" t="n">
        <f aca="false">IF('APA Inputs'!$C$29="",0,(IF(AND(AA$4&gt;='APA Inputs'!$C$29,AA$4&lt;EDATE('APA Inputs'!$C$29,N('APA Inputs'!$D$29))),'APA Inputs'!$J$29,0)+IF(N('APA Inputs'!$H$29)&gt;0,IF(AA$4=EDATE('APA Inputs'!$C$29,'APA Inputs'!$H$29-1),N('APA Inputs'!$G$29),0),0))*IF('APA Inputs'!$I$29="",1,'APA Inputs'!$I$29))</f>
        <v>0</v>
      </c>
      <c r="AB14" s="409" t="n">
        <f aca="false">IF('APA Inputs'!$C$29="",0,(IF(AND(AB$4&gt;='APA Inputs'!$C$29,AB$4&lt;EDATE('APA Inputs'!$C$29,N('APA Inputs'!$D$29))),'APA Inputs'!$J$29,0)+IF(N('APA Inputs'!$H$29)&gt;0,IF(AB$4=EDATE('APA Inputs'!$C$29,'APA Inputs'!$H$29-1),N('APA Inputs'!$G$29),0),0))*IF('APA Inputs'!$I$29="",1,'APA Inputs'!$I$29))</f>
        <v>0</v>
      </c>
      <c r="AC14" s="409" t="n">
        <f aca="false">IF('APA Inputs'!$C$29="",0,(IF(AND(AC$4&gt;='APA Inputs'!$C$29,AC$4&lt;EDATE('APA Inputs'!$C$29,N('APA Inputs'!$D$29))),'APA Inputs'!$J$29,0)+IF(N('APA Inputs'!$H$29)&gt;0,IF(AC$4=EDATE('APA Inputs'!$C$29,'APA Inputs'!$H$29-1),N('APA Inputs'!$G$29),0),0))*IF('APA Inputs'!$I$29="",1,'APA Inputs'!$I$29))</f>
        <v>0</v>
      </c>
      <c r="AD14" s="409" t="n">
        <f aca="false">IF('APA Inputs'!$C$29="",0,(IF(AND(AD$4&gt;='APA Inputs'!$C$29,AD$4&lt;EDATE('APA Inputs'!$C$29,N('APA Inputs'!$D$29))),'APA Inputs'!$J$29,0)+IF(N('APA Inputs'!$H$29)&gt;0,IF(AD$4=EDATE('APA Inputs'!$C$29,'APA Inputs'!$H$29-1),N('APA Inputs'!$G$29),0),0))*IF('APA Inputs'!$I$29="",1,'APA Inputs'!$I$29))</f>
        <v>0</v>
      </c>
      <c r="AE14" s="409" t="n">
        <f aca="false">IF('APA Inputs'!$C$29="",0,(IF(AND(AE$4&gt;='APA Inputs'!$C$29,AE$4&lt;EDATE('APA Inputs'!$C$29,N('APA Inputs'!$D$29))),'APA Inputs'!$J$29,0)+IF(N('APA Inputs'!$H$29)&gt;0,IF(AE$4=EDATE('APA Inputs'!$C$29,'APA Inputs'!$H$29-1),N('APA Inputs'!$G$29),0),0))*IF('APA Inputs'!$I$29="",1,'APA Inputs'!$I$29))</f>
        <v>0</v>
      </c>
      <c r="AF14" s="409" t="n">
        <f aca="false">IF('APA Inputs'!$C$29="",0,(IF(AND(AF$4&gt;='APA Inputs'!$C$29,AF$4&lt;EDATE('APA Inputs'!$C$29,N('APA Inputs'!$D$29))),'APA Inputs'!$J$29,0)+IF(N('APA Inputs'!$H$29)&gt;0,IF(AF$4=EDATE('APA Inputs'!$C$29,'APA Inputs'!$H$29-1),N('APA Inputs'!$G$29),0),0))*IF('APA Inputs'!$I$29="",1,'APA Inputs'!$I$29))</f>
        <v>0</v>
      </c>
      <c r="AG14" s="409" t="n">
        <f aca="false">IF('APA Inputs'!$C$29="",0,(IF(AND(AG$4&gt;='APA Inputs'!$C$29,AG$4&lt;EDATE('APA Inputs'!$C$29,N('APA Inputs'!$D$29))),'APA Inputs'!$J$29,0)+IF(N('APA Inputs'!$H$29)&gt;0,IF(AG$4=EDATE('APA Inputs'!$C$29,'APA Inputs'!$H$29-1),N('APA Inputs'!$G$29),0),0))*IF('APA Inputs'!$I$29="",1,'APA Inputs'!$I$29))</f>
        <v>0</v>
      </c>
      <c r="AH14" s="409" t="n">
        <f aca="false">IF('APA Inputs'!$C$29="",0,(IF(AND(AH$4&gt;='APA Inputs'!$C$29,AH$4&lt;EDATE('APA Inputs'!$C$29,N('APA Inputs'!$D$29))),'APA Inputs'!$J$29,0)+IF(N('APA Inputs'!$H$29)&gt;0,IF(AH$4=EDATE('APA Inputs'!$C$29,'APA Inputs'!$H$29-1),N('APA Inputs'!$G$29),0),0))*IF('APA Inputs'!$I$29="",1,'APA Inputs'!$I$29))</f>
        <v>0</v>
      </c>
      <c r="AI14" s="409" t="n">
        <f aca="false">IF('APA Inputs'!$C$29="",0,(IF(AND(AI$4&gt;='APA Inputs'!$C$29,AI$4&lt;EDATE('APA Inputs'!$C$29,N('APA Inputs'!$D$29))),'APA Inputs'!$J$29,0)+IF(N('APA Inputs'!$H$29)&gt;0,IF(AI$4=EDATE('APA Inputs'!$C$29,'APA Inputs'!$H$29-1),N('APA Inputs'!$G$29),0),0))*IF('APA Inputs'!$I$29="",1,'APA Inputs'!$I$29))</f>
        <v>0</v>
      </c>
      <c r="AJ14" s="409" t="n">
        <f aca="false">IF('APA Inputs'!$C$29="",0,(IF(AND(AJ$4&gt;='APA Inputs'!$C$29,AJ$4&lt;EDATE('APA Inputs'!$C$29,N('APA Inputs'!$D$29))),'APA Inputs'!$J$29,0)+IF(N('APA Inputs'!$H$29)&gt;0,IF(AJ$4=EDATE('APA Inputs'!$C$29,'APA Inputs'!$H$29-1),N('APA Inputs'!$G$29),0),0))*IF('APA Inputs'!$I$29="",1,'APA Inputs'!$I$29))</f>
        <v>0</v>
      </c>
      <c r="AK14" s="409" t="n">
        <f aca="false">IF('APA Inputs'!$C$29="",0,(IF(AND(AK$4&gt;='APA Inputs'!$C$29,AK$4&lt;EDATE('APA Inputs'!$C$29,N('APA Inputs'!$D$29))),'APA Inputs'!$J$29,0)+IF(N('APA Inputs'!$H$29)&gt;0,IF(AK$4=EDATE('APA Inputs'!$C$29,'APA Inputs'!$H$29-1),N('APA Inputs'!$G$29),0),0))*IF('APA Inputs'!$I$29="",1,'APA Inputs'!$I$29))</f>
        <v>0</v>
      </c>
      <c r="AL14" s="409" t="n">
        <f aca="false">IF('APA Inputs'!$C$29="",0,(IF(AND(AL$4&gt;='APA Inputs'!$C$29,AL$4&lt;EDATE('APA Inputs'!$C$29,N('APA Inputs'!$D$29))),'APA Inputs'!$J$29,0)+IF(N('APA Inputs'!$H$29)&gt;0,IF(AL$4=EDATE('APA Inputs'!$C$29,'APA Inputs'!$H$29-1),N('APA Inputs'!$G$29),0),0))*IF('APA Inputs'!$I$29="",1,'APA Inputs'!$I$29))</f>
        <v>0</v>
      </c>
      <c r="AM14" s="409" t="n">
        <f aca="false">IF('APA Inputs'!$C$29="",0,(IF(AND(AM$4&gt;='APA Inputs'!$C$29,AM$4&lt;EDATE('APA Inputs'!$C$29,N('APA Inputs'!$D$29))),'APA Inputs'!$J$29,0)+IF(N('APA Inputs'!$H$29)&gt;0,IF(AM$4=EDATE('APA Inputs'!$C$29,'APA Inputs'!$H$29-1),N('APA Inputs'!$G$29),0),0))*IF('APA Inputs'!$I$29="",1,'APA Inputs'!$I$29))</f>
        <v>0</v>
      </c>
      <c r="AN14" s="409" t="n">
        <f aca="false">IF('APA Inputs'!$C$29="",0,(IF(AND(AN$4&gt;='APA Inputs'!$C$29,AN$4&lt;EDATE('APA Inputs'!$C$29,N('APA Inputs'!$D$29))),'APA Inputs'!$J$29,0)+IF(N('APA Inputs'!$H$29)&gt;0,IF(AN$4=EDATE('APA Inputs'!$C$29,'APA Inputs'!$H$29-1),N('APA Inputs'!$G$29),0),0))*IF('APA Inputs'!$I$29="",1,'APA Inputs'!$I$29))</f>
        <v>0</v>
      </c>
      <c r="AO14" s="409" t="n">
        <f aca="false">IF('APA Inputs'!$C$29="",0,(IF(AND(AO$4&gt;='APA Inputs'!$C$29,AO$4&lt;EDATE('APA Inputs'!$C$29,N('APA Inputs'!$D$29))),'APA Inputs'!$J$29,0)+IF(N('APA Inputs'!$H$29)&gt;0,IF(AO$4=EDATE('APA Inputs'!$C$29,'APA Inputs'!$H$29-1),N('APA Inputs'!$G$29),0),0))*IF('APA Inputs'!$I$29="",1,'APA Inputs'!$I$29))</f>
        <v>0</v>
      </c>
      <c r="AP14" s="409" t="n">
        <f aca="false">IF('APA Inputs'!$C$29="",0,(IF(AND(AP$4&gt;='APA Inputs'!$C$29,AP$4&lt;EDATE('APA Inputs'!$C$29,N('APA Inputs'!$D$29))),'APA Inputs'!$J$29,0)+IF(N('APA Inputs'!$H$29)&gt;0,IF(AP$4=EDATE('APA Inputs'!$C$29,'APA Inputs'!$H$29-1),N('APA Inputs'!$G$29),0),0))*IF('APA Inputs'!$I$29="",1,'APA Inputs'!$I$29))</f>
        <v>0</v>
      </c>
      <c r="AQ14" s="409" t="n">
        <f aca="false">IF('APA Inputs'!$C$29="",0,(IF(AND(AQ$4&gt;='APA Inputs'!$C$29,AQ$4&lt;EDATE('APA Inputs'!$C$29,N('APA Inputs'!$D$29))),'APA Inputs'!$J$29,0)+IF(N('APA Inputs'!$H$29)&gt;0,IF(AQ$4=EDATE('APA Inputs'!$C$29,'APA Inputs'!$H$29-1),N('APA Inputs'!$G$29),0),0))*IF('APA Inputs'!$I$29="",1,'APA Inputs'!$I$29))</f>
        <v>0</v>
      </c>
      <c r="AR14" s="409" t="n">
        <f aca="false">IF('APA Inputs'!$C$29="",0,(IF(AND(AR$4&gt;='APA Inputs'!$C$29,AR$4&lt;EDATE('APA Inputs'!$C$29,N('APA Inputs'!$D$29))),'APA Inputs'!$J$29,0)+IF(N('APA Inputs'!$H$29)&gt;0,IF(AR$4=EDATE('APA Inputs'!$C$29,'APA Inputs'!$H$29-1),N('APA Inputs'!$G$29),0),0))*IF('APA Inputs'!$I$29="",1,'APA Inputs'!$I$29))</f>
        <v>0</v>
      </c>
      <c r="AS14" s="409" t="n">
        <f aca="false">IF('APA Inputs'!$C$29="",0,(IF(AND(AS$4&gt;='APA Inputs'!$C$29,AS$4&lt;EDATE('APA Inputs'!$C$29,N('APA Inputs'!$D$29))),'APA Inputs'!$J$29,0)+IF(N('APA Inputs'!$H$29)&gt;0,IF(AS$4=EDATE('APA Inputs'!$C$29,'APA Inputs'!$H$29-1),N('APA Inputs'!$G$29),0),0))*IF('APA Inputs'!$I$29="",1,'APA Inputs'!$I$29))</f>
        <v>0</v>
      </c>
      <c r="AT14" s="409" t="n">
        <f aca="false">IF('APA Inputs'!$C$29="",0,(IF(AND(AT$4&gt;='APA Inputs'!$C$29,AT$4&lt;EDATE('APA Inputs'!$C$29,N('APA Inputs'!$D$29))),'APA Inputs'!$J$29,0)+IF(N('APA Inputs'!$H$29)&gt;0,IF(AT$4=EDATE('APA Inputs'!$C$29,'APA Inputs'!$H$29-1),N('APA Inputs'!$G$29),0),0))*IF('APA Inputs'!$I$29="",1,'APA Inputs'!$I$29))</f>
        <v>0</v>
      </c>
      <c r="AU14" s="409" t="n">
        <f aca="false">IF('APA Inputs'!$C$29="",0,(IF(AND(AU$4&gt;='APA Inputs'!$C$29,AU$4&lt;EDATE('APA Inputs'!$C$29,N('APA Inputs'!$D$29))),'APA Inputs'!$J$29,0)+IF(N('APA Inputs'!$H$29)&gt;0,IF(AU$4=EDATE('APA Inputs'!$C$29,'APA Inputs'!$H$29-1),N('APA Inputs'!$G$29),0),0))*IF('APA Inputs'!$I$29="",1,'APA Inputs'!$I$29))</f>
        <v>0</v>
      </c>
      <c r="AV14" s="409" t="n">
        <f aca="false">IF('APA Inputs'!$C$29="",0,(IF(AND(AV$4&gt;='APA Inputs'!$C$29,AV$4&lt;EDATE('APA Inputs'!$C$29,N('APA Inputs'!$D$29))),'APA Inputs'!$J$29,0)+IF(N('APA Inputs'!$H$29)&gt;0,IF(AV$4=EDATE('APA Inputs'!$C$29,'APA Inputs'!$H$29-1),N('APA Inputs'!$G$29),0),0))*IF('APA Inputs'!$I$29="",1,'APA Inputs'!$I$29))</f>
        <v>0</v>
      </c>
      <c r="AW14" s="409" t="n">
        <f aca="false">IF('APA Inputs'!$C$29="",0,(IF(AND(AW$4&gt;='APA Inputs'!$C$29,AW$4&lt;EDATE('APA Inputs'!$C$29,N('APA Inputs'!$D$29))),'APA Inputs'!$J$29,0)+IF(N('APA Inputs'!$H$29)&gt;0,IF(AW$4=EDATE('APA Inputs'!$C$29,'APA Inputs'!$H$29-1),N('APA Inputs'!$G$29),0),0))*IF('APA Inputs'!$I$29="",1,'APA Inputs'!$I$29))</f>
        <v>0</v>
      </c>
      <c r="AX14" s="409" t="n">
        <f aca="false">IF('APA Inputs'!$C$29="",0,(IF(AND(AX$4&gt;='APA Inputs'!$C$29,AX$4&lt;EDATE('APA Inputs'!$C$29,N('APA Inputs'!$D$29))),'APA Inputs'!$J$29,0)+IF(N('APA Inputs'!$H$29)&gt;0,IF(AX$4=EDATE('APA Inputs'!$C$29,'APA Inputs'!$H$29-1),N('APA Inputs'!$G$29),0),0))*IF('APA Inputs'!$I$29="",1,'APA Inputs'!$I$29))</f>
        <v>0</v>
      </c>
      <c r="AY14" s="409" t="n">
        <f aca="false">IF('APA Inputs'!$C$29="",0,(IF(AND(AY$4&gt;='APA Inputs'!$C$29,AY$4&lt;EDATE('APA Inputs'!$C$29,N('APA Inputs'!$D$29))),'APA Inputs'!$J$29,0)+IF(N('APA Inputs'!$H$29)&gt;0,IF(AY$4=EDATE('APA Inputs'!$C$29,'APA Inputs'!$H$29-1),N('APA Inputs'!$G$29),0),0))*IF('APA Inputs'!$I$29="",1,'APA Inputs'!$I$29))</f>
        <v>0</v>
      </c>
      <c r="AZ14" s="409" t="n">
        <f aca="false">IF('APA Inputs'!$C$29="",0,(IF(AND(AZ$4&gt;='APA Inputs'!$C$29,AZ$4&lt;EDATE('APA Inputs'!$C$29,N('APA Inputs'!$D$29))),'APA Inputs'!$J$29,0)+IF(N('APA Inputs'!$H$29)&gt;0,IF(AZ$4=EDATE('APA Inputs'!$C$29,'APA Inputs'!$H$29-1),N('APA Inputs'!$G$29),0),0))*IF('APA Inputs'!$I$29="",1,'APA Inputs'!$I$29))</f>
        <v>0</v>
      </c>
      <c r="BA14" s="409" t="n">
        <f aca="false">IF('APA Inputs'!$C$29="",0,(IF(AND(BA$4&gt;='APA Inputs'!$C$29,BA$4&lt;EDATE('APA Inputs'!$C$29,N('APA Inputs'!$D$29))),'APA Inputs'!$J$29,0)+IF(N('APA Inputs'!$H$29)&gt;0,IF(BA$4=EDATE('APA Inputs'!$C$29,'APA Inputs'!$H$29-1),N('APA Inputs'!$G$29),0),0))*IF('APA Inputs'!$I$29="",1,'APA Inputs'!$I$29))</f>
        <v>0</v>
      </c>
      <c r="BB14" s="409" t="n">
        <f aca="false">IF('APA Inputs'!$C$29="",0,(IF(AND(BB$4&gt;='APA Inputs'!$C$29,BB$4&lt;EDATE('APA Inputs'!$C$29,N('APA Inputs'!$D$29))),'APA Inputs'!$J$29,0)+IF(N('APA Inputs'!$H$29)&gt;0,IF(BB$4=EDATE('APA Inputs'!$C$29,'APA Inputs'!$H$29-1),N('APA Inputs'!$G$29),0),0))*IF('APA Inputs'!$I$29="",1,'APA Inputs'!$I$29))</f>
        <v>0</v>
      </c>
      <c r="BC14" s="409" t="n">
        <f aca="false">IF('APA Inputs'!$C$29="",0,(IF(AND(BC$4&gt;='APA Inputs'!$C$29,BC$4&lt;EDATE('APA Inputs'!$C$29,N('APA Inputs'!$D$29))),'APA Inputs'!$J$29,0)+IF(N('APA Inputs'!$H$29)&gt;0,IF(BC$4=EDATE('APA Inputs'!$C$29,'APA Inputs'!$H$29-1),N('APA Inputs'!$G$29),0),0))*IF('APA Inputs'!$I$29="",1,'APA Inputs'!$I$29))</f>
        <v>0</v>
      </c>
      <c r="BD14" s="409" t="n">
        <f aca="false">IF('APA Inputs'!$C$29="",0,(IF(AND(BD$4&gt;='APA Inputs'!$C$29,BD$4&lt;EDATE('APA Inputs'!$C$29,N('APA Inputs'!$D$29))),'APA Inputs'!$J$29,0)+IF(N('APA Inputs'!$H$29)&gt;0,IF(BD$4=EDATE('APA Inputs'!$C$29,'APA Inputs'!$H$29-1),N('APA Inputs'!$G$29),0),0))*IF('APA Inputs'!$I$29="",1,'APA Inputs'!$I$29))</f>
        <v>0</v>
      </c>
      <c r="BE14" s="409" t="n">
        <f aca="false">IF('APA Inputs'!$C$29="",0,(IF(AND(BE$4&gt;='APA Inputs'!$C$29,BE$4&lt;EDATE('APA Inputs'!$C$29,N('APA Inputs'!$D$29))),'APA Inputs'!$J$29,0)+IF(N('APA Inputs'!$H$29)&gt;0,IF(BE$4=EDATE('APA Inputs'!$C$29,'APA Inputs'!$H$29-1),N('APA Inputs'!$G$29),0),0))*IF('APA Inputs'!$I$29="",1,'APA Inputs'!$I$29))</f>
        <v>0</v>
      </c>
      <c r="BF14" s="409" t="n">
        <f aca="false">IF('APA Inputs'!$C$29="",0,(IF(AND(BF$4&gt;='APA Inputs'!$C$29,BF$4&lt;EDATE('APA Inputs'!$C$29,N('APA Inputs'!$D$29))),'APA Inputs'!$J$29,0)+IF(N('APA Inputs'!$H$29)&gt;0,IF(BF$4=EDATE('APA Inputs'!$C$29,'APA Inputs'!$H$29-1),N('APA Inputs'!$G$29),0),0))*IF('APA Inputs'!$I$29="",1,'APA Inputs'!$I$29))</f>
        <v>0</v>
      </c>
      <c r="BG14" s="409" t="n">
        <f aca="false">IF('APA Inputs'!$C$29="",0,(IF(AND(BG$4&gt;='APA Inputs'!$C$29,BG$4&lt;EDATE('APA Inputs'!$C$29,N('APA Inputs'!$D$29))),'APA Inputs'!$J$29,0)+IF(N('APA Inputs'!$H$29)&gt;0,IF(BG$4=EDATE('APA Inputs'!$C$29,'APA Inputs'!$H$29-1),N('APA Inputs'!$G$29),0),0))*IF('APA Inputs'!$I$29="",1,'APA Inputs'!$I$29))</f>
        <v>0</v>
      </c>
      <c r="BH14" s="409" t="n">
        <f aca="false">IF('APA Inputs'!$C$29="",0,(IF(AND(BH$4&gt;='APA Inputs'!$C$29,BH$4&lt;EDATE('APA Inputs'!$C$29,N('APA Inputs'!$D$29))),'APA Inputs'!$J$29,0)+IF(N('APA Inputs'!$H$29)&gt;0,IF(BH$4=EDATE('APA Inputs'!$C$29,'APA Inputs'!$H$29-1),N('APA Inputs'!$G$29),0),0))*IF('APA Inputs'!$I$29="",1,'APA Inputs'!$I$29))</f>
        <v>0</v>
      </c>
      <c r="BI14" s="409" t="n">
        <f aca="false">IF('APA Inputs'!$C$29="",0,(IF(AND(BI$4&gt;='APA Inputs'!$C$29,BI$4&lt;EDATE('APA Inputs'!$C$29,N('APA Inputs'!$D$29))),'APA Inputs'!$J$29,0)+IF(N('APA Inputs'!$H$29)&gt;0,IF(BI$4=EDATE('APA Inputs'!$C$29,'APA Inputs'!$H$29-1),N('APA Inputs'!$G$29),0),0))*IF('APA Inputs'!$I$29="",1,'APA Inputs'!$I$29))</f>
        <v>0</v>
      </c>
      <c r="BJ14" s="409" t="n">
        <f aca="false">IF('APA Inputs'!$C$29="",0,(IF(AND(BJ$4&gt;='APA Inputs'!$C$29,BJ$4&lt;EDATE('APA Inputs'!$C$29,N('APA Inputs'!$D$29))),'APA Inputs'!$J$29,0)+IF(N('APA Inputs'!$H$29)&gt;0,IF(BJ$4=EDATE('APA Inputs'!$C$29,'APA Inputs'!$H$29-1),N('APA Inputs'!$G$29),0),0))*IF('APA Inputs'!$I$29="",1,'APA Inputs'!$I$29))</f>
        <v>0</v>
      </c>
      <c r="BK14" s="409" t="n">
        <f aca="false">IF('APA Inputs'!$C$29="",0,(IF(AND(BK$4&gt;='APA Inputs'!$C$29,BK$4&lt;EDATE('APA Inputs'!$C$29,N('APA Inputs'!$D$29))),'APA Inputs'!$J$29,0)+IF(N('APA Inputs'!$H$29)&gt;0,IF(BK$4=EDATE('APA Inputs'!$C$29,'APA Inputs'!$H$29-1),N('APA Inputs'!$G$29),0),0))*IF('APA Inputs'!$I$29="",1,'APA Inputs'!$I$29))</f>
        <v>0</v>
      </c>
      <c r="BL14" s="409" t="n">
        <f aca="false">IF('APA Inputs'!$C$29="",0,(IF(AND(BL$4&gt;='APA Inputs'!$C$29,BL$4&lt;EDATE('APA Inputs'!$C$29,N('APA Inputs'!$D$29))),'APA Inputs'!$J$29,0)+IF(N('APA Inputs'!$H$29)&gt;0,IF(BL$4=EDATE('APA Inputs'!$C$29,'APA Inputs'!$H$29-1),N('APA Inputs'!$G$29),0),0))*IF('APA Inputs'!$I$29="",1,'APA Inputs'!$I$29))</f>
        <v>0</v>
      </c>
      <c r="BM14" s="409" t="n">
        <f aca="false">IF('APA Inputs'!$C$29="",0,(IF(AND(BM$4&gt;='APA Inputs'!$C$29,BM$4&lt;EDATE('APA Inputs'!$C$29,N('APA Inputs'!$D$29))),'APA Inputs'!$J$29,0)+IF(N('APA Inputs'!$H$29)&gt;0,IF(BM$4=EDATE('APA Inputs'!$C$29,'APA Inputs'!$H$29-1),N('APA Inputs'!$G$29),0),0))*IF('APA Inputs'!$I$29="",1,'APA Inputs'!$I$29))</f>
        <v>0</v>
      </c>
      <c r="BN14" s="409" t="n">
        <f aca="false">IF('APA Inputs'!$C$29="",0,(IF(AND(BN$4&gt;='APA Inputs'!$C$29,BN$4&lt;EDATE('APA Inputs'!$C$29,N('APA Inputs'!$D$29))),'APA Inputs'!$J$29,0)+IF(N('APA Inputs'!$H$29)&gt;0,IF(BN$4=EDATE('APA Inputs'!$C$29,'APA Inputs'!$H$29-1),N('APA Inputs'!$G$29),0),0))*IF('APA Inputs'!$I$29="",1,'APA Inputs'!$I$29))</f>
        <v>0</v>
      </c>
      <c r="BO14" s="409" t="n">
        <f aca="false">IF('APA Inputs'!$C$29="",0,(IF(AND(BO$4&gt;='APA Inputs'!$C$29,BO$4&lt;EDATE('APA Inputs'!$C$29,N('APA Inputs'!$D$29))),'APA Inputs'!$J$29,0)+IF(N('APA Inputs'!$H$29)&gt;0,IF(BO$4=EDATE('APA Inputs'!$C$29,'APA Inputs'!$H$29-1),N('APA Inputs'!$G$29),0),0))*IF('APA Inputs'!$I$29="",1,'APA Inputs'!$I$29))</f>
        <v>0</v>
      </c>
      <c r="BP14" s="409" t="n">
        <f aca="false">IF('APA Inputs'!$C$29="",0,(IF(AND(BP$4&gt;='APA Inputs'!$C$29,BP$4&lt;EDATE('APA Inputs'!$C$29,N('APA Inputs'!$D$29))),'APA Inputs'!$J$29,0)+IF(N('APA Inputs'!$H$29)&gt;0,IF(BP$4=EDATE('APA Inputs'!$C$29,'APA Inputs'!$H$29-1),N('APA Inputs'!$G$29),0),0))*IF('APA Inputs'!$I$29="",1,'APA Inputs'!$I$29))</f>
        <v>0</v>
      </c>
      <c r="BQ14" s="409" t="n">
        <f aca="false">IF('APA Inputs'!$C$29="",0,(IF(AND(BQ$4&gt;='APA Inputs'!$C$29,BQ$4&lt;EDATE('APA Inputs'!$C$29,N('APA Inputs'!$D$29))),'APA Inputs'!$J$29,0)+IF(N('APA Inputs'!$H$29)&gt;0,IF(BQ$4=EDATE('APA Inputs'!$C$29,'APA Inputs'!$H$29-1),N('APA Inputs'!$G$29),0),0))*IF('APA Inputs'!$I$29="",1,'APA Inputs'!$I$29))</f>
        <v>0</v>
      </c>
      <c r="BR14" s="409" t="n">
        <f aca="false">IF('APA Inputs'!$C$29="",0,(IF(AND(BR$4&gt;='APA Inputs'!$C$29,BR$4&lt;EDATE('APA Inputs'!$C$29,N('APA Inputs'!$D$29))),'APA Inputs'!$J$29,0)+IF(N('APA Inputs'!$H$29)&gt;0,IF(BR$4=EDATE('APA Inputs'!$C$29,'APA Inputs'!$H$29-1),N('APA Inputs'!$G$29),0),0))*IF('APA Inputs'!$I$29="",1,'APA Inputs'!$I$29))</f>
        <v>0</v>
      </c>
      <c r="BS14" s="409" t="n">
        <f aca="false">IF('APA Inputs'!$C$29="",0,(IF(AND(BS$4&gt;='APA Inputs'!$C$29,BS$4&lt;EDATE('APA Inputs'!$C$29,N('APA Inputs'!$D$29))),'APA Inputs'!$J$29,0)+IF(N('APA Inputs'!$H$29)&gt;0,IF(BS$4=EDATE('APA Inputs'!$C$29,'APA Inputs'!$H$29-1),N('APA Inputs'!$G$29),0),0))*IF('APA Inputs'!$I$29="",1,'APA Inputs'!$I$29))</f>
        <v>0</v>
      </c>
      <c r="BT14" s="409" t="n">
        <f aca="false">IF('APA Inputs'!$C$29="",0,(IF(AND(BT$4&gt;='APA Inputs'!$C$29,BT$4&lt;EDATE('APA Inputs'!$C$29,N('APA Inputs'!$D$29))),'APA Inputs'!$J$29,0)+IF(N('APA Inputs'!$H$29)&gt;0,IF(BT$4=EDATE('APA Inputs'!$C$29,'APA Inputs'!$H$29-1),N('APA Inputs'!$G$29),0),0))*IF('APA Inputs'!$I$29="",1,'APA Inputs'!$I$29))</f>
        <v>0</v>
      </c>
      <c r="BU14" s="409" t="n">
        <f aca="false">IF('APA Inputs'!$C$29="",0,(IF(AND(BU$4&gt;='APA Inputs'!$C$29,BU$4&lt;EDATE('APA Inputs'!$C$29,N('APA Inputs'!$D$29))),'APA Inputs'!$J$29,0)+IF(N('APA Inputs'!$H$29)&gt;0,IF(BU$4=EDATE('APA Inputs'!$C$29,'APA Inputs'!$H$29-1),N('APA Inputs'!$G$29),0),0))*IF('APA Inputs'!$I$29="",1,'APA Inputs'!$I$29))</f>
        <v>0</v>
      </c>
      <c r="BV14" s="409" t="n">
        <f aca="false">IF('APA Inputs'!$C$29="",0,(IF(AND(BV$4&gt;='APA Inputs'!$C$29,BV$4&lt;EDATE('APA Inputs'!$C$29,N('APA Inputs'!$D$29))),'APA Inputs'!$J$29,0)+IF(N('APA Inputs'!$H$29)&gt;0,IF(BV$4=EDATE('APA Inputs'!$C$29,'APA Inputs'!$H$29-1),N('APA Inputs'!$G$29),0),0))*IF('APA Inputs'!$I$29="",1,'APA Inputs'!$I$29))</f>
        <v>0</v>
      </c>
      <c r="BW14" s="409" t="n">
        <f aca="false">IF('APA Inputs'!$C$29="",0,(IF(AND(BW$4&gt;='APA Inputs'!$C$29,BW$4&lt;EDATE('APA Inputs'!$C$29,N('APA Inputs'!$D$29))),'APA Inputs'!$J$29,0)+IF(N('APA Inputs'!$H$29)&gt;0,IF(BW$4=EDATE('APA Inputs'!$C$29,'APA Inputs'!$H$29-1),N('APA Inputs'!$G$29),0),0))*IF('APA Inputs'!$I$29="",1,'APA Inputs'!$I$29))</f>
        <v>0</v>
      </c>
      <c r="BX14" s="409" t="n">
        <f aca="false">IF('APA Inputs'!$C$29="",0,(IF(AND(BX$4&gt;='APA Inputs'!$C$29,BX$4&lt;EDATE('APA Inputs'!$C$29,N('APA Inputs'!$D$29))),'APA Inputs'!$J$29,0)+IF(N('APA Inputs'!$H$29)&gt;0,IF(BX$4=EDATE('APA Inputs'!$C$29,'APA Inputs'!$H$29-1),N('APA Inputs'!$G$29),0),0))*IF('APA Inputs'!$I$29="",1,'APA Inputs'!$I$29))</f>
        <v>0</v>
      </c>
      <c r="BY14" s="409" t="n">
        <f aca="false">IF('APA Inputs'!$C$29="",0,(IF(AND(BY$4&gt;='APA Inputs'!$C$29,BY$4&lt;EDATE('APA Inputs'!$C$29,N('APA Inputs'!$D$29))),'APA Inputs'!$J$29,0)+IF(N('APA Inputs'!$H$29)&gt;0,IF(BY$4=EDATE('APA Inputs'!$C$29,'APA Inputs'!$H$29-1),N('APA Inputs'!$G$29),0),0))*IF('APA Inputs'!$I$29="",1,'APA Inputs'!$I$29))</f>
        <v>0</v>
      </c>
      <c r="BZ14" s="409" t="n">
        <f aca="false">IF('APA Inputs'!$C$29="",0,(IF(AND(BZ$4&gt;='APA Inputs'!$C$29,BZ$4&lt;EDATE('APA Inputs'!$C$29,N('APA Inputs'!$D$29))),'APA Inputs'!$J$29,0)+IF(N('APA Inputs'!$H$29)&gt;0,IF(BZ$4=EDATE('APA Inputs'!$C$29,'APA Inputs'!$H$29-1),N('APA Inputs'!$G$29),0),0))*IF('APA Inputs'!$I$29="",1,'APA Inputs'!$I$29))</f>
        <v>0</v>
      </c>
      <c r="CA14" s="409" t="n">
        <f aca="false">IF('APA Inputs'!$C$29="",0,(IF(AND(CA$4&gt;='APA Inputs'!$C$29,CA$4&lt;EDATE('APA Inputs'!$C$29,N('APA Inputs'!$D$29))),'APA Inputs'!$J$29,0)+IF(N('APA Inputs'!$H$29)&gt;0,IF(CA$4=EDATE('APA Inputs'!$C$29,'APA Inputs'!$H$29-1),N('APA Inputs'!$G$29),0),0))*IF('APA Inputs'!$I$29="",1,'APA Inputs'!$I$29))</f>
        <v>0</v>
      </c>
      <c r="CB14" s="409" t="n">
        <f aca="false">IF('APA Inputs'!$C$29="",0,(IF(AND(CB$4&gt;='APA Inputs'!$C$29,CB$4&lt;EDATE('APA Inputs'!$C$29,N('APA Inputs'!$D$29))),'APA Inputs'!$J$29,0)+IF(N('APA Inputs'!$H$29)&gt;0,IF(CB$4=EDATE('APA Inputs'!$C$29,'APA Inputs'!$H$29-1),N('APA Inputs'!$G$29),0),0))*IF('APA Inputs'!$I$29="",1,'APA Inputs'!$I$29))</f>
        <v>0</v>
      </c>
      <c r="CC14" s="409" t="n">
        <f aca="false">IF('APA Inputs'!$C$29="",0,(IF(AND(CC$4&gt;='APA Inputs'!$C$29,CC$4&lt;EDATE('APA Inputs'!$C$29,N('APA Inputs'!$D$29))),'APA Inputs'!$J$29,0)+IF(N('APA Inputs'!$H$29)&gt;0,IF(CC$4=EDATE('APA Inputs'!$C$29,'APA Inputs'!$H$29-1),N('APA Inputs'!$G$29),0),0))*IF('APA Inputs'!$I$29="",1,'APA Inputs'!$I$29))</f>
        <v>0</v>
      </c>
      <c r="CD14" s="409" t="n">
        <f aca="false">IF('APA Inputs'!$C$29="",0,(IF(AND(CD$4&gt;='APA Inputs'!$C$29,CD$4&lt;EDATE('APA Inputs'!$C$29,N('APA Inputs'!$D$29))),'APA Inputs'!$J$29,0)+IF(N('APA Inputs'!$H$29)&gt;0,IF(CD$4=EDATE('APA Inputs'!$C$29,'APA Inputs'!$H$29-1),N('APA Inputs'!$G$29),0),0))*IF('APA Inputs'!$I$29="",1,'APA Inputs'!$I$29))</f>
        <v>0</v>
      </c>
      <c r="CE14" s="409" t="n">
        <f aca="false">IF('APA Inputs'!$C$29="",0,(IF(AND(CE$4&gt;='APA Inputs'!$C$29,CE$4&lt;EDATE('APA Inputs'!$C$29,N('APA Inputs'!$D$29))),'APA Inputs'!$J$29,0)+IF(N('APA Inputs'!$H$29)&gt;0,IF(CE$4=EDATE('APA Inputs'!$C$29,'APA Inputs'!$H$29-1),N('APA Inputs'!$G$29),0),0))*IF('APA Inputs'!$I$29="",1,'APA Inputs'!$I$29))</f>
        <v>0</v>
      </c>
      <c r="CF14" s="409" t="n">
        <f aca="false">IF('APA Inputs'!$C$29="",0,(IF(AND(CF$4&gt;='APA Inputs'!$C$29,CF$4&lt;EDATE('APA Inputs'!$C$29,N('APA Inputs'!$D$29))),'APA Inputs'!$J$29,0)+IF(N('APA Inputs'!$H$29)&gt;0,IF(CF$4=EDATE('APA Inputs'!$C$29,'APA Inputs'!$H$29-1),N('APA Inputs'!$G$29),0),0))*IF('APA Inputs'!$I$29="",1,'APA Inputs'!$I$29))</f>
        <v>0</v>
      </c>
      <c r="CG14" s="409" t="n">
        <f aca="false">IF('APA Inputs'!$C$29="",0,(IF(AND(CG$4&gt;='APA Inputs'!$C$29,CG$4&lt;EDATE('APA Inputs'!$C$29,N('APA Inputs'!$D$29))),'APA Inputs'!$J$29,0)+IF(N('APA Inputs'!$H$29)&gt;0,IF(CG$4=EDATE('APA Inputs'!$C$29,'APA Inputs'!$H$29-1),N('APA Inputs'!$G$29),0),0))*IF('APA Inputs'!$I$29="",1,'APA Inputs'!$I$29))</f>
        <v>0</v>
      </c>
      <c r="CH14" s="409" t="n">
        <f aca="false">IF('APA Inputs'!$C$29="",0,(IF(AND(CH$4&gt;='APA Inputs'!$C$29,CH$4&lt;EDATE('APA Inputs'!$C$29,N('APA Inputs'!$D$29))),'APA Inputs'!$J$29,0)+IF(N('APA Inputs'!$H$29)&gt;0,IF(CH$4=EDATE('APA Inputs'!$C$29,'APA Inputs'!$H$29-1),N('APA Inputs'!$G$29),0),0))*IF('APA Inputs'!$I$29="",1,'APA Inputs'!$I$29))</f>
        <v>0</v>
      </c>
      <c r="CI14" s="409" t="n">
        <f aca="false">IF('APA Inputs'!$C$29="",0,(IF(AND(CI$4&gt;='APA Inputs'!$C$29,CI$4&lt;EDATE('APA Inputs'!$C$29,N('APA Inputs'!$D$29))),'APA Inputs'!$J$29,0)+IF(N('APA Inputs'!$H$29)&gt;0,IF(CI$4=EDATE('APA Inputs'!$C$29,'APA Inputs'!$H$29-1),N('APA Inputs'!$G$29),0),0))*IF('APA Inputs'!$I$29="",1,'APA Inputs'!$I$29))</f>
        <v>0</v>
      </c>
      <c r="CJ14" s="409" t="n">
        <f aca="false">IF('APA Inputs'!$C$29="",0,(IF(AND(CJ$4&gt;='APA Inputs'!$C$29,CJ$4&lt;EDATE('APA Inputs'!$C$29,N('APA Inputs'!$D$29))),'APA Inputs'!$J$29,0)+IF(N('APA Inputs'!$H$29)&gt;0,IF(CJ$4=EDATE('APA Inputs'!$C$29,'APA Inputs'!$H$29-1),N('APA Inputs'!$G$29),0),0))*IF('APA Inputs'!$I$29="",1,'APA Inputs'!$I$29))</f>
        <v>0</v>
      </c>
      <c r="CK14" s="409" t="n">
        <f aca="false">IF('APA Inputs'!$C$29="",0,(IF(AND(CK$4&gt;='APA Inputs'!$C$29,CK$4&lt;EDATE('APA Inputs'!$C$29,N('APA Inputs'!$D$29))),'APA Inputs'!$J$29,0)+IF(N('APA Inputs'!$H$29)&gt;0,IF(CK$4=EDATE('APA Inputs'!$C$29,'APA Inputs'!$H$29-1),N('APA Inputs'!$G$29),0),0))*IF('APA Inputs'!$I$29="",1,'APA Inputs'!$I$29))</f>
        <v>0</v>
      </c>
      <c r="CL14" s="409" t="n">
        <f aca="false">IF('APA Inputs'!$C$29="",0,(IF(AND(CL$4&gt;='APA Inputs'!$C$29,CL$4&lt;EDATE('APA Inputs'!$C$29,N('APA Inputs'!$D$29))),'APA Inputs'!$J$29,0)+IF(N('APA Inputs'!$H$29)&gt;0,IF(CL$4=EDATE('APA Inputs'!$C$29,'APA Inputs'!$H$29-1),N('APA Inputs'!$G$29),0),0))*IF('APA Inputs'!$I$29="",1,'APA Inputs'!$I$29))</f>
        <v>0</v>
      </c>
      <c r="CM14" s="409" t="n">
        <f aca="false">IF('APA Inputs'!$C$29="",0,(IF(AND(CM$4&gt;='APA Inputs'!$C$29,CM$4&lt;EDATE('APA Inputs'!$C$29,N('APA Inputs'!$D$29))),'APA Inputs'!$J$29,0)+IF(N('APA Inputs'!$H$29)&gt;0,IF(CM$4=EDATE('APA Inputs'!$C$29,'APA Inputs'!$H$29-1),N('APA Inputs'!$G$29),0),0))*IF('APA Inputs'!$I$29="",1,'APA Inputs'!$I$29))</f>
        <v>0</v>
      </c>
      <c r="CN14" s="409" t="n">
        <f aca="false">IF('APA Inputs'!$C$29="",0,(IF(AND(CN$4&gt;='APA Inputs'!$C$29,CN$4&lt;EDATE('APA Inputs'!$C$29,N('APA Inputs'!$D$29))),'APA Inputs'!$J$29,0)+IF(N('APA Inputs'!$H$29)&gt;0,IF(CN$4=EDATE('APA Inputs'!$C$29,'APA Inputs'!$H$29-1),N('APA Inputs'!$G$29),0),0))*IF('APA Inputs'!$I$29="",1,'APA Inputs'!$I$29))</f>
        <v>0</v>
      </c>
      <c r="CO14" s="409" t="n">
        <f aca="false">IF('APA Inputs'!$C$29="",0,(IF(AND(CO$4&gt;='APA Inputs'!$C$29,CO$4&lt;EDATE('APA Inputs'!$C$29,N('APA Inputs'!$D$29))),'APA Inputs'!$J$29,0)+IF(N('APA Inputs'!$H$29)&gt;0,IF(CO$4=EDATE('APA Inputs'!$C$29,'APA Inputs'!$H$29-1),N('APA Inputs'!$G$29),0),0))*IF('APA Inputs'!$I$29="",1,'APA Inputs'!$I$29))</f>
        <v>0</v>
      </c>
      <c r="CP14" s="409" t="n">
        <f aca="false">IF('APA Inputs'!$C$29="",0,(IF(AND(CP$4&gt;='APA Inputs'!$C$29,CP$4&lt;EDATE('APA Inputs'!$C$29,N('APA Inputs'!$D$29))),'APA Inputs'!$J$29,0)+IF(N('APA Inputs'!$H$29)&gt;0,IF(CP$4=EDATE('APA Inputs'!$C$29,'APA Inputs'!$H$29-1),N('APA Inputs'!$G$29),0),0))*IF('APA Inputs'!$I$29="",1,'APA Inputs'!$I$29))</f>
        <v>0</v>
      </c>
      <c r="CQ14" s="409" t="n">
        <f aca="false">IF('APA Inputs'!$C$29="",0,(IF(AND(CQ$4&gt;='APA Inputs'!$C$29,CQ$4&lt;EDATE('APA Inputs'!$C$29,N('APA Inputs'!$D$29))),'APA Inputs'!$J$29,0)+IF(N('APA Inputs'!$H$29)&gt;0,IF(CQ$4=EDATE('APA Inputs'!$C$29,'APA Inputs'!$H$29-1),N('APA Inputs'!$G$29),0),0))*IF('APA Inputs'!$I$29="",1,'APA Inputs'!$I$29))</f>
        <v>0</v>
      </c>
      <c r="CR14" s="409" t="n">
        <f aca="false">IF('APA Inputs'!$C$29="",0,(IF(AND(CR$4&gt;='APA Inputs'!$C$29,CR$4&lt;EDATE('APA Inputs'!$C$29,N('APA Inputs'!$D$29))),'APA Inputs'!$J$29,0)+IF(N('APA Inputs'!$H$29)&gt;0,IF(CR$4=EDATE('APA Inputs'!$C$29,'APA Inputs'!$H$29-1),N('APA Inputs'!$G$29),0),0))*IF('APA Inputs'!$I$29="",1,'APA Inputs'!$I$29))</f>
        <v>0</v>
      </c>
      <c r="CS14" s="409" t="n">
        <f aca="false">IF('APA Inputs'!$C$29="",0,(IF(AND(CS$4&gt;='APA Inputs'!$C$29,CS$4&lt;EDATE('APA Inputs'!$C$29,N('APA Inputs'!$D$29))),'APA Inputs'!$J$29,0)+IF(N('APA Inputs'!$H$29)&gt;0,IF(CS$4=EDATE('APA Inputs'!$C$29,'APA Inputs'!$H$29-1),N('APA Inputs'!$G$29),0),0))*IF('APA Inputs'!$I$29="",1,'APA Inputs'!$I$29))</f>
        <v>0</v>
      </c>
      <c r="CT14" s="409" t="n">
        <f aca="false">IF('APA Inputs'!$C$29="",0,(IF(AND(CT$4&gt;='APA Inputs'!$C$29,CT$4&lt;EDATE('APA Inputs'!$C$29,N('APA Inputs'!$D$29))),'APA Inputs'!$J$29,0)+IF(N('APA Inputs'!$H$29)&gt;0,IF(CT$4=EDATE('APA Inputs'!$C$29,'APA Inputs'!$H$29-1),N('APA Inputs'!$G$29),0),0))*IF('APA Inputs'!$I$29="",1,'APA Inputs'!$I$29))</f>
        <v>0</v>
      </c>
      <c r="CU14" s="409" t="n">
        <f aca="false">IF('APA Inputs'!$C$29="",0,(IF(AND(CU$4&gt;='APA Inputs'!$C$29,CU$4&lt;EDATE('APA Inputs'!$C$29,N('APA Inputs'!$D$29))),'APA Inputs'!$J$29,0)+IF(N('APA Inputs'!$H$29)&gt;0,IF(CU$4=EDATE('APA Inputs'!$C$29,'APA Inputs'!$H$29-1),N('APA Inputs'!$G$29),0),0))*IF('APA Inputs'!$I$29="",1,'APA Inputs'!$I$29))</f>
        <v>0</v>
      </c>
      <c r="CV14" s="409" t="n">
        <f aca="false">IF('APA Inputs'!$C$29="",0,(IF(AND(CV$4&gt;='APA Inputs'!$C$29,CV$4&lt;EDATE('APA Inputs'!$C$29,N('APA Inputs'!$D$29))),'APA Inputs'!$J$29,0)+IF(N('APA Inputs'!$H$29)&gt;0,IF(CV$4=EDATE('APA Inputs'!$C$29,'APA Inputs'!$H$29-1),N('APA Inputs'!$G$29),0),0))*IF('APA Inputs'!$I$29="",1,'APA Inputs'!$I$29))</f>
        <v>0</v>
      </c>
      <c r="CW14" s="409" t="n">
        <f aca="false">IF('APA Inputs'!$C$29="",0,(IF(AND(CW$4&gt;='APA Inputs'!$C$29,CW$4&lt;EDATE('APA Inputs'!$C$29,N('APA Inputs'!$D$29))),'APA Inputs'!$J$29,0)+IF(N('APA Inputs'!$H$29)&gt;0,IF(CW$4=EDATE('APA Inputs'!$C$29,'APA Inputs'!$H$29-1),N('APA Inputs'!$G$29),0),0))*IF('APA Inputs'!$I$29="",1,'APA Inputs'!$I$29))</f>
        <v>0</v>
      </c>
      <c r="CX14" s="409" t="n">
        <f aca="false">IF('APA Inputs'!$C$29="",0,(IF(AND(CX$4&gt;='APA Inputs'!$C$29,CX$4&lt;EDATE('APA Inputs'!$C$29,N('APA Inputs'!$D$29))),'APA Inputs'!$J$29,0)+IF(N('APA Inputs'!$H$29)&gt;0,IF(CX$4=EDATE('APA Inputs'!$C$29,'APA Inputs'!$H$29-1),N('APA Inputs'!$G$29),0),0))*IF('APA Inputs'!$I$29="",1,'APA Inputs'!$I$29))</f>
        <v>0</v>
      </c>
      <c r="CY14" s="409" t="n">
        <f aca="false">IF('APA Inputs'!$C$29="",0,(IF(AND(CY$4&gt;='APA Inputs'!$C$29,CY$4&lt;EDATE('APA Inputs'!$C$29,N('APA Inputs'!$D$29))),'APA Inputs'!$J$29,0)+IF(N('APA Inputs'!$H$29)&gt;0,IF(CY$4=EDATE('APA Inputs'!$C$29,'APA Inputs'!$H$29-1),N('APA Inputs'!$G$29),0),0))*IF('APA Inputs'!$I$29="",1,'APA Inputs'!$I$29))</f>
        <v>0</v>
      </c>
      <c r="CZ14" s="409" t="n">
        <f aca="false">IF('APA Inputs'!$C$29="",0,(IF(AND(CZ$4&gt;='APA Inputs'!$C$29,CZ$4&lt;EDATE('APA Inputs'!$C$29,N('APA Inputs'!$D$29))),'APA Inputs'!$J$29,0)+IF(N('APA Inputs'!$H$29)&gt;0,IF(CZ$4=EDATE('APA Inputs'!$C$29,'APA Inputs'!$H$29-1),N('APA Inputs'!$G$29),0),0))*IF('APA Inputs'!$I$29="",1,'APA Inputs'!$I$29))</f>
        <v>0</v>
      </c>
      <c r="DA14" s="409" t="n">
        <f aca="false">IF('APA Inputs'!$C$29="",0,(IF(AND(DA$4&gt;='APA Inputs'!$C$29,DA$4&lt;EDATE('APA Inputs'!$C$29,N('APA Inputs'!$D$29))),'APA Inputs'!$J$29,0)+IF(N('APA Inputs'!$H$29)&gt;0,IF(DA$4=EDATE('APA Inputs'!$C$29,'APA Inputs'!$H$29-1),N('APA Inputs'!$G$29),0),0))*IF('APA Inputs'!$I$29="",1,'APA Inputs'!$I$29))</f>
        <v>0</v>
      </c>
      <c r="DB14" s="409" t="n">
        <f aca="false">IF('APA Inputs'!$C$29="",0,(IF(AND(DB$4&gt;='APA Inputs'!$C$29,DB$4&lt;EDATE('APA Inputs'!$C$29,N('APA Inputs'!$D$29))),'APA Inputs'!$J$29,0)+IF(N('APA Inputs'!$H$29)&gt;0,IF(DB$4=EDATE('APA Inputs'!$C$29,'APA Inputs'!$H$29-1),N('APA Inputs'!$G$29),0),0))*IF('APA Inputs'!$I$29="",1,'APA Inputs'!$I$29))</f>
        <v>0</v>
      </c>
      <c r="DC14" s="409" t="n">
        <f aca="false">IF('APA Inputs'!$C$29="",0,(IF(AND(DC$4&gt;='APA Inputs'!$C$29,DC$4&lt;EDATE('APA Inputs'!$C$29,N('APA Inputs'!$D$29))),'APA Inputs'!$J$29,0)+IF(N('APA Inputs'!$H$29)&gt;0,IF(DC$4=EDATE('APA Inputs'!$C$29,'APA Inputs'!$H$29-1),N('APA Inputs'!$G$29),0),0))*IF('APA Inputs'!$I$29="",1,'APA Inputs'!$I$29))</f>
        <v>0</v>
      </c>
      <c r="DD14" s="409" t="n">
        <f aca="false">IF('APA Inputs'!$C$29="",0,(IF(AND(DD$4&gt;='APA Inputs'!$C$29,DD$4&lt;EDATE('APA Inputs'!$C$29,N('APA Inputs'!$D$29))),'APA Inputs'!$J$29,0)+IF(N('APA Inputs'!$H$29)&gt;0,IF(DD$4=EDATE('APA Inputs'!$C$29,'APA Inputs'!$H$29-1),N('APA Inputs'!$G$29),0),0))*IF('APA Inputs'!$I$29="",1,'APA Inputs'!$I$29))</f>
        <v>0</v>
      </c>
      <c r="DE14" s="40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09" t="n">
        <f aca="false">IF('APA Inputs'!$C$30="",0,(IF(AND(B$4&gt;='APA Inputs'!$C$30,B$4&lt;EDATE('APA Inputs'!$C$30,N('APA Inputs'!$D$30))),'APA Inputs'!$J$30,0)+IF(N('APA Inputs'!$H$30)&gt;0,IF(B$4=EDATE('APA Inputs'!$C$30,'APA Inputs'!$H$30-1),N('APA Inputs'!$G$30),0),0))*IF('APA Inputs'!$I$30="",1,'APA Inputs'!$I$30))</f>
        <v>0</v>
      </c>
      <c r="C15" s="409" t="n">
        <f aca="false">IF('APA Inputs'!$C$30="",0,(IF(AND(C$4&gt;='APA Inputs'!$C$30,C$4&lt;EDATE('APA Inputs'!$C$30,N('APA Inputs'!$D$30))),'APA Inputs'!$J$30,0)+IF(N('APA Inputs'!$H$30)&gt;0,IF(C$4=EDATE('APA Inputs'!$C$30,'APA Inputs'!$H$30-1),N('APA Inputs'!$G$30),0),0))*IF('APA Inputs'!$I$30="",1,'APA Inputs'!$I$30))</f>
        <v>0</v>
      </c>
      <c r="D15" s="409" t="n">
        <f aca="false">IF('APA Inputs'!$C$30="",0,(IF(AND(D$4&gt;='APA Inputs'!$C$30,D$4&lt;EDATE('APA Inputs'!$C$30,N('APA Inputs'!$D$30))),'APA Inputs'!$J$30,0)+IF(N('APA Inputs'!$H$30)&gt;0,IF(D$4=EDATE('APA Inputs'!$C$30,'APA Inputs'!$H$30-1),N('APA Inputs'!$G$30),0),0))*IF('APA Inputs'!$I$30="",1,'APA Inputs'!$I$30))</f>
        <v>0</v>
      </c>
      <c r="E15" s="409" t="n">
        <f aca="false">IF('APA Inputs'!$C$30="",0,(IF(AND(E$4&gt;='APA Inputs'!$C$30,E$4&lt;EDATE('APA Inputs'!$C$30,N('APA Inputs'!$D$30))),'APA Inputs'!$J$30,0)+IF(N('APA Inputs'!$H$30)&gt;0,IF(E$4=EDATE('APA Inputs'!$C$30,'APA Inputs'!$H$30-1),N('APA Inputs'!$G$30),0),0))*IF('APA Inputs'!$I$30="",1,'APA Inputs'!$I$30))</f>
        <v>0</v>
      </c>
      <c r="F15" s="409" t="n">
        <f aca="false">IF('APA Inputs'!$C$30="",0,(IF(AND(F$4&gt;='APA Inputs'!$C$30,F$4&lt;EDATE('APA Inputs'!$C$30,N('APA Inputs'!$D$30))),'APA Inputs'!$J$30,0)+IF(N('APA Inputs'!$H$30)&gt;0,IF(F$4=EDATE('APA Inputs'!$C$30,'APA Inputs'!$H$30-1),N('APA Inputs'!$G$30),0),0))*IF('APA Inputs'!$I$30="",1,'APA Inputs'!$I$30))</f>
        <v>0</v>
      </c>
      <c r="G15" s="409" t="n">
        <f aca="false">IF('APA Inputs'!$C$30="",0,(IF(AND(G$4&gt;='APA Inputs'!$C$30,G$4&lt;EDATE('APA Inputs'!$C$30,N('APA Inputs'!$D$30))),'APA Inputs'!$J$30,0)+IF(N('APA Inputs'!$H$30)&gt;0,IF(G$4=EDATE('APA Inputs'!$C$30,'APA Inputs'!$H$30-1),N('APA Inputs'!$G$30),0),0))*IF('APA Inputs'!$I$30="",1,'APA Inputs'!$I$30))</f>
        <v>0</v>
      </c>
      <c r="H15" s="409" t="n">
        <f aca="false">IF('APA Inputs'!$C$30="",0,(IF(AND(H$4&gt;='APA Inputs'!$C$30,H$4&lt;EDATE('APA Inputs'!$C$30,N('APA Inputs'!$D$30))),'APA Inputs'!$J$30,0)+IF(N('APA Inputs'!$H$30)&gt;0,IF(H$4=EDATE('APA Inputs'!$C$30,'APA Inputs'!$H$30-1),N('APA Inputs'!$G$30),0),0))*IF('APA Inputs'!$I$30="",1,'APA Inputs'!$I$30))</f>
        <v>0</v>
      </c>
      <c r="I15" s="409" t="n">
        <f aca="false">IF('APA Inputs'!$C$30="",0,(IF(AND(I$4&gt;='APA Inputs'!$C$30,I$4&lt;EDATE('APA Inputs'!$C$30,N('APA Inputs'!$D$30))),'APA Inputs'!$J$30,0)+IF(N('APA Inputs'!$H$30)&gt;0,IF(I$4=EDATE('APA Inputs'!$C$30,'APA Inputs'!$H$30-1),N('APA Inputs'!$G$30),0),0))*IF('APA Inputs'!$I$30="",1,'APA Inputs'!$I$30))</f>
        <v>0</v>
      </c>
      <c r="J15" s="409" t="n">
        <f aca="false">IF('APA Inputs'!$C$30="",0,(IF(AND(J$4&gt;='APA Inputs'!$C$30,J$4&lt;EDATE('APA Inputs'!$C$30,N('APA Inputs'!$D$30))),'APA Inputs'!$J$30,0)+IF(N('APA Inputs'!$H$30)&gt;0,IF(J$4=EDATE('APA Inputs'!$C$30,'APA Inputs'!$H$30-1),N('APA Inputs'!$G$30),0),0))*IF('APA Inputs'!$I$30="",1,'APA Inputs'!$I$30))</f>
        <v>0</v>
      </c>
      <c r="K15" s="409" t="n">
        <f aca="false">IF('APA Inputs'!$C$30="",0,(IF(AND(K$4&gt;='APA Inputs'!$C$30,K$4&lt;EDATE('APA Inputs'!$C$30,N('APA Inputs'!$D$30))),'APA Inputs'!$J$30,0)+IF(N('APA Inputs'!$H$30)&gt;0,IF(K$4=EDATE('APA Inputs'!$C$30,'APA Inputs'!$H$30-1),N('APA Inputs'!$G$30),0),0))*IF('APA Inputs'!$I$30="",1,'APA Inputs'!$I$30))</f>
        <v>0</v>
      </c>
      <c r="L15" s="409" t="n">
        <f aca="false">IF('APA Inputs'!$C$30="",0,(IF(AND(L$4&gt;='APA Inputs'!$C$30,L$4&lt;EDATE('APA Inputs'!$C$30,N('APA Inputs'!$D$30))),'APA Inputs'!$J$30,0)+IF(N('APA Inputs'!$H$30)&gt;0,IF(L$4=EDATE('APA Inputs'!$C$30,'APA Inputs'!$H$30-1),N('APA Inputs'!$G$30),0),0))*IF('APA Inputs'!$I$30="",1,'APA Inputs'!$I$30))</f>
        <v>0</v>
      </c>
      <c r="M15" s="409" t="n">
        <f aca="false">IF('APA Inputs'!$C$30="",0,(IF(AND(M$4&gt;='APA Inputs'!$C$30,M$4&lt;EDATE('APA Inputs'!$C$30,N('APA Inputs'!$D$30))),'APA Inputs'!$J$30,0)+IF(N('APA Inputs'!$H$30)&gt;0,IF(M$4=EDATE('APA Inputs'!$C$30,'APA Inputs'!$H$30-1),N('APA Inputs'!$G$30),0),0))*IF('APA Inputs'!$I$30="",1,'APA Inputs'!$I$30))</f>
        <v>0</v>
      </c>
      <c r="N15" s="409" t="n">
        <f aca="false">IF('APA Inputs'!$C$30="",0,(IF(AND(N$4&gt;='APA Inputs'!$C$30,N$4&lt;EDATE('APA Inputs'!$C$30,N('APA Inputs'!$D$30))),'APA Inputs'!$J$30,0)+IF(N('APA Inputs'!$H$30)&gt;0,IF(N$4=EDATE('APA Inputs'!$C$30,'APA Inputs'!$H$30-1),N('APA Inputs'!$G$30),0),0))*IF('APA Inputs'!$I$30="",1,'APA Inputs'!$I$30))</f>
        <v>0</v>
      </c>
      <c r="O15" s="409" t="n">
        <f aca="false">IF('APA Inputs'!$C$30="",0,(IF(AND(O$4&gt;='APA Inputs'!$C$30,O$4&lt;EDATE('APA Inputs'!$C$30,N('APA Inputs'!$D$30))),'APA Inputs'!$J$30,0)+IF(N('APA Inputs'!$H$30)&gt;0,IF(O$4=EDATE('APA Inputs'!$C$30,'APA Inputs'!$H$30-1),N('APA Inputs'!$G$30),0),0))*IF('APA Inputs'!$I$30="",1,'APA Inputs'!$I$30))</f>
        <v>0</v>
      </c>
      <c r="P15" s="409" t="n">
        <f aca="false">IF('APA Inputs'!$C$30="",0,(IF(AND(P$4&gt;='APA Inputs'!$C$30,P$4&lt;EDATE('APA Inputs'!$C$30,N('APA Inputs'!$D$30))),'APA Inputs'!$J$30,0)+IF(N('APA Inputs'!$H$30)&gt;0,IF(P$4=EDATE('APA Inputs'!$C$30,'APA Inputs'!$H$30-1),N('APA Inputs'!$G$30),0),0))*IF('APA Inputs'!$I$30="",1,'APA Inputs'!$I$30))</f>
        <v>0</v>
      </c>
      <c r="Q15" s="409" t="n">
        <f aca="false">IF('APA Inputs'!$C$30="",0,(IF(AND(Q$4&gt;='APA Inputs'!$C$30,Q$4&lt;EDATE('APA Inputs'!$C$30,N('APA Inputs'!$D$30))),'APA Inputs'!$J$30,0)+IF(N('APA Inputs'!$H$30)&gt;0,IF(Q$4=EDATE('APA Inputs'!$C$30,'APA Inputs'!$H$30-1),N('APA Inputs'!$G$30),0),0))*IF('APA Inputs'!$I$30="",1,'APA Inputs'!$I$30))</f>
        <v>0</v>
      </c>
      <c r="R15" s="409" t="n">
        <f aca="false">IF('APA Inputs'!$C$30="",0,(IF(AND(R$4&gt;='APA Inputs'!$C$30,R$4&lt;EDATE('APA Inputs'!$C$30,N('APA Inputs'!$D$30))),'APA Inputs'!$J$30,0)+IF(N('APA Inputs'!$H$30)&gt;0,IF(R$4=EDATE('APA Inputs'!$C$30,'APA Inputs'!$H$30-1),N('APA Inputs'!$G$30),0),0))*IF('APA Inputs'!$I$30="",1,'APA Inputs'!$I$30))</f>
        <v>0</v>
      </c>
      <c r="S15" s="409" t="n">
        <f aca="false">IF('APA Inputs'!$C$30="",0,(IF(AND(S$4&gt;='APA Inputs'!$C$30,S$4&lt;EDATE('APA Inputs'!$C$30,N('APA Inputs'!$D$30))),'APA Inputs'!$J$30,0)+IF(N('APA Inputs'!$H$30)&gt;0,IF(S$4=EDATE('APA Inputs'!$C$30,'APA Inputs'!$H$30-1),N('APA Inputs'!$G$30),0),0))*IF('APA Inputs'!$I$30="",1,'APA Inputs'!$I$30))</f>
        <v>0</v>
      </c>
      <c r="T15" s="409" t="n">
        <f aca="false">IF('APA Inputs'!$C$30="",0,(IF(AND(T$4&gt;='APA Inputs'!$C$30,T$4&lt;EDATE('APA Inputs'!$C$30,N('APA Inputs'!$D$30))),'APA Inputs'!$J$30,0)+IF(N('APA Inputs'!$H$30)&gt;0,IF(T$4=EDATE('APA Inputs'!$C$30,'APA Inputs'!$H$30-1),N('APA Inputs'!$G$30),0),0))*IF('APA Inputs'!$I$30="",1,'APA Inputs'!$I$30))</f>
        <v>0</v>
      </c>
      <c r="U15" s="409" t="n">
        <f aca="false">IF('APA Inputs'!$C$30="",0,(IF(AND(U$4&gt;='APA Inputs'!$C$30,U$4&lt;EDATE('APA Inputs'!$C$30,N('APA Inputs'!$D$30))),'APA Inputs'!$J$30,0)+IF(N('APA Inputs'!$H$30)&gt;0,IF(U$4=EDATE('APA Inputs'!$C$30,'APA Inputs'!$H$30-1),N('APA Inputs'!$G$30),0),0))*IF('APA Inputs'!$I$30="",1,'APA Inputs'!$I$30))</f>
        <v>0</v>
      </c>
      <c r="V15" s="409" t="n">
        <f aca="false">IF('APA Inputs'!$C$30="",0,(IF(AND(V$4&gt;='APA Inputs'!$C$30,V$4&lt;EDATE('APA Inputs'!$C$30,N('APA Inputs'!$D$30))),'APA Inputs'!$J$30,0)+IF(N('APA Inputs'!$H$30)&gt;0,IF(V$4=EDATE('APA Inputs'!$C$30,'APA Inputs'!$H$30-1),N('APA Inputs'!$G$30),0),0))*IF('APA Inputs'!$I$30="",1,'APA Inputs'!$I$30))</f>
        <v>0</v>
      </c>
      <c r="W15" s="409" t="n">
        <f aca="false">IF('APA Inputs'!$C$30="",0,(IF(AND(W$4&gt;='APA Inputs'!$C$30,W$4&lt;EDATE('APA Inputs'!$C$30,N('APA Inputs'!$D$30))),'APA Inputs'!$J$30,0)+IF(N('APA Inputs'!$H$30)&gt;0,IF(W$4=EDATE('APA Inputs'!$C$30,'APA Inputs'!$H$30-1),N('APA Inputs'!$G$30),0),0))*IF('APA Inputs'!$I$30="",1,'APA Inputs'!$I$30))</f>
        <v>0</v>
      </c>
      <c r="X15" s="409" t="n">
        <f aca="false">IF('APA Inputs'!$C$30="",0,(IF(AND(X$4&gt;='APA Inputs'!$C$30,X$4&lt;EDATE('APA Inputs'!$C$30,N('APA Inputs'!$D$30))),'APA Inputs'!$J$30,0)+IF(N('APA Inputs'!$H$30)&gt;0,IF(X$4=EDATE('APA Inputs'!$C$30,'APA Inputs'!$H$30-1),N('APA Inputs'!$G$30),0),0))*IF('APA Inputs'!$I$30="",1,'APA Inputs'!$I$30))</f>
        <v>0</v>
      </c>
      <c r="Y15" s="409" t="n">
        <f aca="false">IF('APA Inputs'!$C$30="",0,(IF(AND(Y$4&gt;='APA Inputs'!$C$30,Y$4&lt;EDATE('APA Inputs'!$C$30,N('APA Inputs'!$D$30))),'APA Inputs'!$J$30,0)+IF(N('APA Inputs'!$H$30)&gt;0,IF(Y$4=EDATE('APA Inputs'!$C$30,'APA Inputs'!$H$30-1),N('APA Inputs'!$G$30),0),0))*IF('APA Inputs'!$I$30="",1,'APA Inputs'!$I$30))</f>
        <v>0</v>
      </c>
      <c r="Z15" s="409" t="n">
        <f aca="false">IF('APA Inputs'!$C$30="",0,(IF(AND(Z$4&gt;='APA Inputs'!$C$30,Z$4&lt;EDATE('APA Inputs'!$C$30,N('APA Inputs'!$D$30))),'APA Inputs'!$J$30,0)+IF(N('APA Inputs'!$H$30)&gt;0,IF(Z$4=EDATE('APA Inputs'!$C$30,'APA Inputs'!$H$30-1),N('APA Inputs'!$G$30),0),0))*IF('APA Inputs'!$I$30="",1,'APA Inputs'!$I$30))</f>
        <v>0</v>
      </c>
      <c r="AA15" s="409" t="n">
        <f aca="false">IF('APA Inputs'!$C$30="",0,(IF(AND(AA$4&gt;='APA Inputs'!$C$30,AA$4&lt;EDATE('APA Inputs'!$C$30,N('APA Inputs'!$D$30))),'APA Inputs'!$J$30,0)+IF(N('APA Inputs'!$H$30)&gt;0,IF(AA$4=EDATE('APA Inputs'!$C$30,'APA Inputs'!$H$30-1),N('APA Inputs'!$G$30),0),0))*IF('APA Inputs'!$I$30="",1,'APA Inputs'!$I$30))</f>
        <v>0</v>
      </c>
      <c r="AB15" s="409" t="n">
        <f aca="false">IF('APA Inputs'!$C$30="",0,(IF(AND(AB$4&gt;='APA Inputs'!$C$30,AB$4&lt;EDATE('APA Inputs'!$C$30,N('APA Inputs'!$D$30))),'APA Inputs'!$J$30,0)+IF(N('APA Inputs'!$H$30)&gt;0,IF(AB$4=EDATE('APA Inputs'!$C$30,'APA Inputs'!$H$30-1),N('APA Inputs'!$G$30),0),0))*IF('APA Inputs'!$I$30="",1,'APA Inputs'!$I$30))</f>
        <v>0</v>
      </c>
      <c r="AC15" s="409" t="n">
        <f aca="false">IF('APA Inputs'!$C$30="",0,(IF(AND(AC$4&gt;='APA Inputs'!$C$30,AC$4&lt;EDATE('APA Inputs'!$C$30,N('APA Inputs'!$D$30))),'APA Inputs'!$J$30,0)+IF(N('APA Inputs'!$H$30)&gt;0,IF(AC$4=EDATE('APA Inputs'!$C$30,'APA Inputs'!$H$30-1),N('APA Inputs'!$G$30),0),0))*IF('APA Inputs'!$I$30="",1,'APA Inputs'!$I$30))</f>
        <v>0</v>
      </c>
      <c r="AD15" s="409" t="n">
        <f aca="false">IF('APA Inputs'!$C$30="",0,(IF(AND(AD$4&gt;='APA Inputs'!$C$30,AD$4&lt;EDATE('APA Inputs'!$C$30,N('APA Inputs'!$D$30))),'APA Inputs'!$J$30,0)+IF(N('APA Inputs'!$H$30)&gt;0,IF(AD$4=EDATE('APA Inputs'!$C$30,'APA Inputs'!$H$30-1),N('APA Inputs'!$G$30),0),0))*IF('APA Inputs'!$I$30="",1,'APA Inputs'!$I$30))</f>
        <v>0</v>
      </c>
      <c r="AE15" s="409" t="n">
        <f aca="false">IF('APA Inputs'!$C$30="",0,(IF(AND(AE$4&gt;='APA Inputs'!$C$30,AE$4&lt;EDATE('APA Inputs'!$C$30,N('APA Inputs'!$D$30))),'APA Inputs'!$J$30,0)+IF(N('APA Inputs'!$H$30)&gt;0,IF(AE$4=EDATE('APA Inputs'!$C$30,'APA Inputs'!$H$30-1),N('APA Inputs'!$G$30),0),0))*IF('APA Inputs'!$I$30="",1,'APA Inputs'!$I$30))</f>
        <v>0</v>
      </c>
      <c r="AF15" s="409" t="n">
        <f aca="false">IF('APA Inputs'!$C$30="",0,(IF(AND(AF$4&gt;='APA Inputs'!$C$30,AF$4&lt;EDATE('APA Inputs'!$C$30,N('APA Inputs'!$D$30))),'APA Inputs'!$J$30,0)+IF(N('APA Inputs'!$H$30)&gt;0,IF(AF$4=EDATE('APA Inputs'!$C$30,'APA Inputs'!$H$30-1),N('APA Inputs'!$G$30),0),0))*IF('APA Inputs'!$I$30="",1,'APA Inputs'!$I$30))</f>
        <v>0</v>
      </c>
      <c r="AG15" s="409" t="n">
        <f aca="false">IF('APA Inputs'!$C$30="",0,(IF(AND(AG$4&gt;='APA Inputs'!$C$30,AG$4&lt;EDATE('APA Inputs'!$C$30,N('APA Inputs'!$D$30))),'APA Inputs'!$J$30,0)+IF(N('APA Inputs'!$H$30)&gt;0,IF(AG$4=EDATE('APA Inputs'!$C$30,'APA Inputs'!$H$30-1),N('APA Inputs'!$G$30),0),0))*IF('APA Inputs'!$I$30="",1,'APA Inputs'!$I$30))</f>
        <v>0</v>
      </c>
      <c r="AH15" s="409" t="n">
        <f aca="false">IF('APA Inputs'!$C$30="",0,(IF(AND(AH$4&gt;='APA Inputs'!$C$30,AH$4&lt;EDATE('APA Inputs'!$C$30,N('APA Inputs'!$D$30))),'APA Inputs'!$J$30,0)+IF(N('APA Inputs'!$H$30)&gt;0,IF(AH$4=EDATE('APA Inputs'!$C$30,'APA Inputs'!$H$30-1),N('APA Inputs'!$G$30),0),0))*IF('APA Inputs'!$I$30="",1,'APA Inputs'!$I$30))</f>
        <v>0</v>
      </c>
      <c r="AI15" s="409" t="n">
        <f aca="false">IF('APA Inputs'!$C$30="",0,(IF(AND(AI$4&gt;='APA Inputs'!$C$30,AI$4&lt;EDATE('APA Inputs'!$C$30,N('APA Inputs'!$D$30))),'APA Inputs'!$J$30,0)+IF(N('APA Inputs'!$H$30)&gt;0,IF(AI$4=EDATE('APA Inputs'!$C$30,'APA Inputs'!$H$30-1),N('APA Inputs'!$G$30),0),0))*IF('APA Inputs'!$I$30="",1,'APA Inputs'!$I$30))</f>
        <v>0</v>
      </c>
      <c r="AJ15" s="409" t="n">
        <f aca="false">IF('APA Inputs'!$C$30="",0,(IF(AND(AJ$4&gt;='APA Inputs'!$C$30,AJ$4&lt;EDATE('APA Inputs'!$C$30,N('APA Inputs'!$D$30))),'APA Inputs'!$J$30,0)+IF(N('APA Inputs'!$H$30)&gt;0,IF(AJ$4=EDATE('APA Inputs'!$C$30,'APA Inputs'!$H$30-1),N('APA Inputs'!$G$30),0),0))*IF('APA Inputs'!$I$30="",1,'APA Inputs'!$I$30))</f>
        <v>0</v>
      </c>
      <c r="AK15" s="409" t="n">
        <f aca="false">IF('APA Inputs'!$C$30="",0,(IF(AND(AK$4&gt;='APA Inputs'!$C$30,AK$4&lt;EDATE('APA Inputs'!$C$30,N('APA Inputs'!$D$30))),'APA Inputs'!$J$30,0)+IF(N('APA Inputs'!$H$30)&gt;0,IF(AK$4=EDATE('APA Inputs'!$C$30,'APA Inputs'!$H$30-1),N('APA Inputs'!$G$30),0),0))*IF('APA Inputs'!$I$30="",1,'APA Inputs'!$I$30))</f>
        <v>0</v>
      </c>
      <c r="AL15" s="409" t="n">
        <f aca="false">IF('APA Inputs'!$C$30="",0,(IF(AND(AL$4&gt;='APA Inputs'!$C$30,AL$4&lt;EDATE('APA Inputs'!$C$30,N('APA Inputs'!$D$30))),'APA Inputs'!$J$30,0)+IF(N('APA Inputs'!$H$30)&gt;0,IF(AL$4=EDATE('APA Inputs'!$C$30,'APA Inputs'!$H$30-1),N('APA Inputs'!$G$30),0),0))*IF('APA Inputs'!$I$30="",1,'APA Inputs'!$I$30))</f>
        <v>0</v>
      </c>
      <c r="AM15" s="409" t="n">
        <f aca="false">IF('APA Inputs'!$C$30="",0,(IF(AND(AM$4&gt;='APA Inputs'!$C$30,AM$4&lt;EDATE('APA Inputs'!$C$30,N('APA Inputs'!$D$30))),'APA Inputs'!$J$30,0)+IF(N('APA Inputs'!$H$30)&gt;0,IF(AM$4=EDATE('APA Inputs'!$C$30,'APA Inputs'!$H$30-1),N('APA Inputs'!$G$30),0),0))*IF('APA Inputs'!$I$30="",1,'APA Inputs'!$I$30))</f>
        <v>0</v>
      </c>
      <c r="AN15" s="409" t="n">
        <f aca="false">IF('APA Inputs'!$C$30="",0,(IF(AND(AN$4&gt;='APA Inputs'!$C$30,AN$4&lt;EDATE('APA Inputs'!$C$30,N('APA Inputs'!$D$30))),'APA Inputs'!$J$30,0)+IF(N('APA Inputs'!$H$30)&gt;0,IF(AN$4=EDATE('APA Inputs'!$C$30,'APA Inputs'!$H$30-1),N('APA Inputs'!$G$30),0),0))*IF('APA Inputs'!$I$30="",1,'APA Inputs'!$I$30))</f>
        <v>0</v>
      </c>
      <c r="AO15" s="409" t="n">
        <f aca="false">IF('APA Inputs'!$C$30="",0,(IF(AND(AO$4&gt;='APA Inputs'!$C$30,AO$4&lt;EDATE('APA Inputs'!$C$30,N('APA Inputs'!$D$30))),'APA Inputs'!$J$30,0)+IF(N('APA Inputs'!$H$30)&gt;0,IF(AO$4=EDATE('APA Inputs'!$C$30,'APA Inputs'!$H$30-1),N('APA Inputs'!$G$30),0),0))*IF('APA Inputs'!$I$30="",1,'APA Inputs'!$I$30))</f>
        <v>0</v>
      </c>
      <c r="AP15" s="409" t="n">
        <f aca="false">IF('APA Inputs'!$C$30="",0,(IF(AND(AP$4&gt;='APA Inputs'!$C$30,AP$4&lt;EDATE('APA Inputs'!$C$30,N('APA Inputs'!$D$30))),'APA Inputs'!$J$30,0)+IF(N('APA Inputs'!$H$30)&gt;0,IF(AP$4=EDATE('APA Inputs'!$C$30,'APA Inputs'!$H$30-1),N('APA Inputs'!$G$30),0),0))*IF('APA Inputs'!$I$30="",1,'APA Inputs'!$I$30))</f>
        <v>0</v>
      </c>
      <c r="AQ15" s="409" t="n">
        <f aca="false">IF('APA Inputs'!$C$30="",0,(IF(AND(AQ$4&gt;='APA Inputs'!$C$30,AQ$4&lt;EDATE('APA Inputs'!$C$30,N('APA Inputs'!$D$30))),'APA Inputs'!$J$30,0)+IF(N('APA Inputs'!$H$30)&gt;0,IF(AQ$4=EDATE('APA Inputs'!$C$30,'APA Inputs'!$H$30-1),N('APA Inputs'!$G$30),0),0))*IF('APA Inputs'!$I$30="",1,'APA Inputs'!$I$30))</f>
        <v>0</v>
      </c>
      <c r="AR15" s="409" t="n">
        <f aca="false">IF('APA Inputs'!$C$30="",0,(IF(AND(AR$4&gt;='APA Inputs'!$C$30,AR$4&lt;EDATE('APA Inputs'!$C$30,N('APA Inputs'!$D$30))),'APA Inputs'!$J$30,0)+IF(N('APA Inputs'!$H$30)&gt;0,IF(AR$4=EDATE('APA Inputs'!$C$30,'APA Inputs'!$H$30-1),N('APA Inputs'!$G$30),0),0))*IF('APA Inputs'!$I$30="",1,'APA Inputs'!$I$30))</f>
        <v>0</v>
      </c>
      <c r="AS15" s="409" t="n">
        <f aca="false">IF('APA Inputs'!$C$30="",0,(IF(AND(AS$4&gt;='APA Inputs'!$C$30,AS$4&lt;EDATE('APA Inputs'!$C$30,N('APA Inputs'!$D$30))),'APA Inputs'!$J$30,0)+IF(N('APA Inputs'!$H$30)&gt;0,IF(AS$4=EDATE('APA Inputs'!$C$30,'APA Inputs'!$H$30-1),N('APA Inputs'!$G$30),0),0))*IF('APA Inputs'!$I$30="",1,'APA Inputs'!$I$30))</f>
        <v>0</v>
      </c>
      <c r="AT15" s="409" t="n">
        <f aca="false">IF('APA Inputs'!$C$30="",0,(IF(AND(AT$4&gt;='APA Inputs'!$C$30,AT$4&lt;EDATE('APA Inputs'!$C$30,N('APA Inputs'!$D$30))),'APA Inputs'!$J$30,0)+IF(N('APA Inputs'!$H$30)&gt;0,IF(AT$4=EDATE('APA Inputs'!$C$30,'APA Inputs'!$H$30-1),N('APA Inputs'!$G$30),0),0))*IF('APA Inputs'!$I$30="",1,'APA Inputs'!$I$30))</f>
        <v>0</v>
      </c>
      <c r="AU15" s="409" t="n">
        <f aca="false">IF('APA Inputs'!$C$30="",0,(IF(AND(AU$4&gt;='APA Inputs'!$C$30,AU$4&lt;EDATE('APA Inputs'!$C$30,N('APA Inputs'!$D$30))),'APA Inputs'!$J$30,0)+IF(N('APA Inputs'!$H$30)&gt;0,IF(AU$4=EDATE('APA Inputs'!$C$30,'APA Inputs'!$H$30-1),N('APA Inputs'!$G$30),0),0))*IF('APA Inputs'!$I$30="",1,'APA Inputs'!$I$30))</f>
        <v>0</v>
      </c>
      <c r="AV15" s="409" t="n">
        <f aca="false">IF('APA Inputs'!$C$30="",0,(IF(AND(AV$4&gt;='APA Inputs'!$C$30,AV$4&lt;EDATE('APA Inputs'!$C$30,N('APA Inputs'!$D$30))),'APA Inputs'!$J$30,0)+IF(N('APA Inputs'!$H$30)&gt;0,IF(AV$4=EDATE('APA Inputs'!$C$30,'APA Inputs'!$H$30-1),N('APA Inputs'!$G$30),0),0))*IF('APA Inputs'!$I$30="",1,'APA Inputs'!$I$30))</f>
        <v>0</v>
      </c>
      <c r="AW15" s="409" t="n">
        <f aca="false">IF('APA Inputs'!$C$30="",0,(IF(AND(AW$4&gt;='APA Inputs'!$C$30,AW$4&lt;EDATE('APA Inputs'!$C$30,N('APA Inputs'!$D$30))),'APA Inputs'!$J$30,0)+IF(N('APA Inputs'!$H$30)&gt;0,IF(AW$4=EDATE('APA Inputs'!$C$30,'APA Inputs'!$H$30-1),N('APA Inputs'!$G$30),0),0))*IF('APA Inputs'!$I$30="",1,'APA Inputs'!$I$30))</f>
        <v>0</v>
      </c>
      <c r="AX15" s="409" t="n">
        <f aca="false">IF('APA Inputs'!$C$30="",0,(IF(AND(AX$4&gt;='APA Inputs'!$C$30,AX$4&lt;EDATE('APA Inputs'!$C$30,N('APA Inputs'!$D$30))),'APA Inputs'!$J$30,0)+IF(N('APA Inputs'!$H$30)&gt;0,IF(AX$4=EDATE('APA Inputs'!$C$30,'APA Inputs'!$H$30-1),N('APA Inputs'!$G$30),0),0))*IF('APA Inputs'!$I$30="",1,'APA Inputs'!$I$30))</f>
        <v>0</v>
      </c>
      <c r="AY15" s="409" t="n">
        <f aca="false">IF('APA Inputs'!$C$30="",0,(IF(AND(AY$4&gt;='APA Inputs'!$C$30,AY$4&lt;EDATE('APA Inputs'!$C$30,N('APA Inputs'!$D$30))),'APA Inputs'!$J$30,0)+IF(N('APA Inputs'!$H$30)&gt;0,IF(AY$4=EDATE('APA Inputs'!$C$30,'APA Inputs'!$H$30-1),N('APA Inputs'!$G$30),0),0))*IF('APA Inputs'!$I$30="",1,'APA Inputs'!$I$30))</f>
        <v>0</v>
      </c>
      <c r="AZ15" s="409" t="n">
        <f aca="false">IF('APA Inputs'!$C$30="",0,(IF(AND(AZ$4&gt;='APA Inputs'!$C$30,AZ$4&lt;EDATE('APA Inputs'!$C$30,N('APA Inputs'!$D$30))),'APA Inputs'!$J$30,0)+IF(N('APA Inputs'!$H$30)&gt;0,IF(AZ$4=EDATE('APA Inputs'!$C$30,'APA Inputs'!$H$30-1),N('APA Inputs'!$G$30),0),0))*IF('APA Inputs'!$I$30="",1,'APA Inputs'!$I$30))</f>
        <v>0</v>
      </c>
      <c r="BA15" s="409" t="n">
        <f aca="false">IF('APA Inputs'!$C$30="",0,(IF(AND(BA$4&gt;='APA Inputs'!$C$30,BA$4&lt;EDATE('APA Inputs'!$C$30,N('APA Inputs'!$D$30))),'APA Inputs'!$J$30,0)+IF(N('APA Inputs'!$H$30)&gt;0,IF(BA$4=EDATE('APA Inputs'!$C$30,'APA Inputs'!$H$30-1),N('APA Inputs'!$G$30),0),0))*IF('APA Inputs'!$I$30="",1,'APA Inputs'!$I$30))</f>
        <v>0</v>
      </c>
      <c r="BB15" s="409" t="n">
        <f aca="false">IF('APA Inputs'!$C$30="",0,(IF(AND(BB$4&gt;='APA Inputs'!$C$30,BB$4&lt;EDATE('APA Inputs'!$C$30,N('APA Inputs'!$D$30))),'APA Inputs'!$J$30,0)+IF(N('APA Inputs'!$H$30)&gt;0,IF(BB$4=EDATE('APA Inputs'!$C$30,'APA Inputs'!$H$30-1),N('APA Inputs'!$G$30),0),0))*IF('APA Inputs'!$I$30="",1,'APA Inputs'!$I$30))</f>
        <v>0</v>
      </c>
      <c r="BC15" s="409" t="n">
        <f aca="false">IF('APA Inputs'!$C$30="",0,(IF(AND(BC$4&gt;='APA Inputs'!$C$30,BC$4&lt;EDATE('APA Inputs'!$C$30,N('APA Inputs'!$D$30))),'APA Inputs'!$J$30,0)+IF(N('APA Inputs'!$H$30)&gt;0,IF(BC$4=EDATE('APA Inputs'!$C$30,'APA Inputs'!$H$30-1),N('APA Inputs'!$G$30),0),0))*IF('APA Inputs'!$I$30="",1,'APA Inputs'!$I$30))</f>
        <v>0</v>
      </c>
      <c r="BD15" s="409" t="n">
        <f aca="false">IF('APA Inputs'!$C$30="",0,(IF(AND(BD$4&gt;='APA Inputs'!$C$30,BD$4&lt;EDATE('APA Inputs'!$C$30,N('APA Inputs'!$D$30))),'APA Inputs'!$J$30,0)+IF(N('APA Inputs'!$H$30)&gt;0,IF(BD$4=EDATE('APA Inputs'!$C$30,'APA Inputs'!$H$30-1),N('APA Inputs'!$G$30),0),0))*IF('APA Inputs'!$I$30="",1,'APA Inputs'!$I$30))</f>
        <v>0</v>
      </c>
      <c r="BE15" s="409" t="n">
        <f aca="false">IF('APA Inputs'!$C$30="",0,(IF(AND(BE$4&gt;='APA Inputs'!$C$30,BE$4&lt;EDATE('APA Inputs'!$C$30,N('APA Inputs'!$D$30))),'APA Inputs'!$J$30,0)+IF(N('APA Inputs'!$H$30)&gt;0,IF(BE$4=EDATE('APA Inputs'!$C$30,'APA Inputs'!$H$30-1),N('APA Inputs'!$G$30),0),0))*IF('APA Inputs'!$I$30="",1,'APA Inputs'!$I$30))</f>
        <v>0</v>
      </c>
      <c r="BF15" s="409" t="n">
        <f aca="false">IF('APA Inputs'!$C$30="",0,(IF(AND(BF$4&gt;='APA Inputs'!$C$30,BF$4&lt;EDATE('APA Inputs'!$C$30,N('APA Inputs'!$D$30))),'APA Inputs'!$J$30,0)+IF(N('APA Inputs'!$H$30)&gt;0,IF(BF$4=EDATE('APA Inputs'!$C$30,'APA Inputs'!$H$30-1),N('APA Inputs'!$G$30),0),0))*IF('APA Inputs'!$I$30="",1,'APA Inputs'!$I$30))</f>
        <v>0</v>
      </c>
      <c r="BG15" s="409" t="n">
        <f aca="false">IF('APA Inputs'!$C$30="",0,(IF(AND(BG$4&gt;='APA Inputs'!$C$30,BG$4&lt;EDATE('APA Inputs'!$C$30,N('APA Inputs'!$D$30))),'APA Inputs'!$J$30,0)+IF(N('APA Inputs'!$H$30)&gt;0,IF(BG$4=EDATE('APA Inputs'!$C$30,'APA Inputs'!$H$30-1),N('APA Inputs'!$G$30),0),0))*IF('APA Inputs'!$I$30="",1,'APA Inputs'!$I$30))</f>
        <v>0</v>
      </c>
      <c r="BH15" s="409" t="n">
        <f aca="false">IF('APA Inputs'!$C$30="",0,(IF(AND(BH$4&gt;='APA Inputs'!$C$30,BH$4&lt;EDATE('APA Inputs'!$C$30,N('APA Inputs'!$D$30))),'APA Inputs'!$J$30,0)+IF(N('APA Inputs'!$H$30)&gt;0,IF(BH$4=EDATE('APA Inputs'!$C$30,'APA Inputs'!$H$30-1),N('APA Inputs'!$G$30),0),0))*IF('APA Inputs'!$I$30="",1,'APA Inputs'!$I$30))</f>
        <v>0</v>
      </c>
      <c r="BI15" s="409" t="n">
        <f aca="false">IF('APA Inputs'!$C$30="",0,(IF(AND(BI$4&gt;='APA Inputs'!$C$30,BI$4&lt;EDATE('APA Inputs'!$C$30,N('APA Inputs'!$D$30))),'APA Inputs'!$J$30,0)+IF(N('APA Inputs'!$H$30)&gt;0,IF(BI$4=EDATE('APA Inputs'!$C$30,'APA Inputs'!$H$30-1),N('APA Inputs'!$G$30),0),0))*IF('APA Inputs'!$I$30="",1,'APA Inputs'!$I$30))</f>
        <v>0</v>
      </c>
      <c r="BJ15" s="409" t="n">
        <f aca="false">IF('APA Inputs'!$C$30="",0,(IF(AND(BJ$4&gt;='APA Inputs'!$C$30,BJ$4&lt;EDATE('APA Inputs'!$C$30,N('APA Inputs'!$D$30))),'APA Inputs'!$J$30,0)+IF(N('APA Inputs'!$H$30)&gt;0,IF(BJ$4=EDATE('APA Inputs'!$C$30,'APA Inputs'!$H$30-1),N('APA Inputs'!$G$30),0),0))*IF('APA Inputs'!$I$30="",1,'APA Inputs'!$I$30))</f>
        <v>0</v>
      </c>
      <c r="BK15" s="409" t="n">
        <f aca="false">IF('APA Inputs'!$C$30="",0,(IF(AND(BK$4&gt;='APA Inputs'!$C$30,BK$4&lt;EDATE('APA Inputs'!$C$30,N('APA Inputs'!$D$30))),'APA Inputs'!$J$30,0)+IF(N('APA Inputs'!$H$30)&gt;0,IF(BK$4=EDATE('APA Inputs'!$C$30,'APA Inputs'!$H$30-1),N('APA Inputs'!$G$30),0),0))*IF('APA Inputs'!$I$30="",1,'APA Inputs'!$I$30))</f>
        <v>0</v>
      </c>
      <c r="BL15" s="409" t="n">
        <f aca="false">IF('APA Inputs'!$C$30="",0,(IF(AND(BL$4&gt;='APA Inputs'!$C$30,BL$4&lt;EDATE('APA Inputs'!$C$30,N('APA Inputs'!$D$30))),'APA Inputs'!$J$30,0)+IF(N('APA Inputs'!$H$30)&gt;0,IF(BL$4=EDATE('APA Inputs'!$C$30,'APA Inputs'!$H$30-1),N('APA Inputs'!$G$30),0),0))*IF('APA Inputs'!$I$30="",1,'APA Inputs'!$I$30))</f>
        <v>0</v>
      </c>
      <c r="BM15" s="409" t="n">
        <f aca="false">IF('APA Inputs'!$C$30="",0,(IF(AND(BM$4&gt;='APA Inputs'!$C$30,BM$4&lt;EDATE('APA Inputs'!$C$30,N('APA Inputs'!$D$30))),'APA Inputs'!$J$30,0)+IF(N('APA Inputs'!$H$30)&gt;0,IF(BM$4=EDATE('APA Inputs'!$C$30,'APA Inputs'!$H$30-1),N('APA Inputs'!$G$30),0),0))*IF('APA Inputs'!$I$30="",1,'APA Inputs'!$I$30))</f>
        <v>0</v>
      </c>
      <c r="BN15" s="409" t="n">
        <f aca="false">IF('APA Inputs'!$C$30="",0,(IF(AND(BN$4&gt;='APA Inputs'!$C$30,BN$4&lt;EDATE('APA Inputs'!$C$30,N('APA Inputs'!$D$30))),'APA Inputs'!$J$30,0)+IF(N('APA Inputs'!$H$30)&gt;0,IF(BN$4=EDATE('APA Inputs'!$C$30,'APA Inputs'!$H$30-1),N('APA Inputs'!$G$30),0),0))*IF('APA Inputs'!$I$30="",1,'APA Inputs'!$I$30))</f>
        <v>0</v>
      </c>
      <c r="BO15" s="409" t="n">
        <f aca="false">IF('APA Inputs'!$C$30="",0,(IF(AND(BO$4&gt;='APA Inputs'!$C$30,BO$4&lt;EDATE('APA Inputs'!$C$30,N('APA Inputs'!$D$30))),'APA Inputs'!$J$30,0)+IF(N('APA Inputs'!$H$30)&gt;0,IF(BO$4=EDATE('APA Inputs'!$C$30,'APA Inputs'!$H$30-1),N('APA Inputs'!$G$30),0),0))*IF('APA Inputs'!$I$30="",1,'APA Inputs'!$I$30))</f>
        <v>0</v>
      </c>
      <c r="BP15" s="409" t="n">
        <f aca="false">IF('APA Inputs'!$C$30="",0,(IF(AND(BP$4&gt;='APA Inputs'!$C$30,BP$4&lt;EDATE('APA Inputs'!$C$30,N('APA Inputs'!$D$30))),'APA Inputs'!$J$30,0)+IF(N('APA Inputs'!$H$30)&gt;0,IF(BP$4=EDATE('APA Inputs'!$C$30,'APA Inputs'!$H$30-1),N('APA Inputs'!$G$30),0),0))*IF('APA Inputs'!$I$30="",1,'APA Inputs'!$I$30))</f>
        <v>0</v>
      </c>
      <c r="BQ15" s="409" t="n">
        <f aca="false">IF('APA Inputs'!$C$30="",0,(IF(AND(BQ$4&gt;='APA Inputs'!$C$30,BQ$4&lt;EDATE('APA Inputs'!$C$30,N('APA Inputs'!$D$30))),'APA Inputs'!$J$30,0)+IF(N('APA Inputs'!$H$30)&gt;0,IF(BQ$4=EDATE('APA Inputs'!$C$30,'APA Inputs'!$H$30-1),N('APA Inputs'!$G$30),0),0))*IF('APA Inputs'!$I$30="",1,'APA Inputs'!$I$30))</f>
        <v>0</v>
      </c>
      <c r="BR15" s="409" t="n">
        <f aca="false">IF('APA Inputs'!$C$30="",0,(IF(AND(BR$4&gt;='APA Inputs'!$C$30,BR$4&lt;EDATE('APA Inputs'!$C$30,N('APA Inputs'!$D$30))),'APA Inputs'!$J$30,0)+IF(N('APA Inputs'!$H$30)&gt;0,IF(BR$4=EDATE('APA Inputs'!$C$30,'APA Inputs'!$H$30-1),N('APA Inputs'!$G$30),0),0))*IF('APA Inputs'!$I$30="",1,'APA Inputs'!$I$30))</f>
        <v>0</v>
      </c>
      <c r="BS15" s="409" t="n">
        <f aca="false">IF('APA Inputs'!$C$30="",0,(IF(AND(BS$4&gt;='APA Inputs'!$C$30,BS$4&lt;EDATE('APA Inputs'!$C$30,N('APA Inputs'!$D$30))),'APA Inputs'!$J$30,0)+IF(N('APA Inputs'!$H$30)&gt;0,IF(BS$4=EDATE('APA Inputs'!$C$30,'APA Inputs'!$H$30-1),N('APA Inputs'!$G$30),0),0))*IF('APA Inputs'!$I$30="",1,'APA Inputs'!$I$30))</f>
        <v>0</v>
      </c>
      <c r="BT15" s="409" t="n">
        <f aca="false">IF('APA Inputs'!$C$30="",0,(IF(AND(BT$4&gt;='APA Inputs'!$C$30,BT$4&lt;EDATE('APA Inputs'!$C$30,N('APA Inputs'!$D$30))),'APA Inputs'!$J$30,0)+IF(N('APA Inputs'!$H$30)&gt;0,IF(BT$4=EDATE('APA Inputs'!$C$30,'APA Inputs'!$H$30-1),N('APA Inputs'!$G$30),0),0))*IF('APA Inputs'!$I$30="",1,'APA Inputs'!$I$30))</f>
        <v>0</v>
      </c>
      <c r="BU15" s="409" t="n">
        <f aca="false">IF('APA Inputs'!$C$30="",0,(IF(AND(BU$4&gt;='APA Inputs'!$C$30,BU$4&lt;EDATE('APA Inputs'!$C$30,N('APA Inputs'!$D$30))),'APA Inputs'!$J$30,0)+IF(N('APA Inputs'!$H$30)&gt;0,IF(BU$4=EDATE('APA Inputs'!$C$30,'APA Inputs'!$H$30-1),N('APA Inputs'!$G$30),0),0))*IF('APA Inputs'!$I$30="",1,'APA Inputs'!$I$30))</f>
        <v>0</v>
      </c>
      <c r="BV15" s="409" t="n">
        <f aca="false">IF('APA Inputs'!$C$30="",0,(IF(AND(BV$4&gt;='APA Inputs'!$C$30,BV$4&lt;EDATE('APA Inputs'!$C$30,N('APA Inputs'!$D$30))),'APA Inputs'!$J$30,0)+IF(N('APA Inputs'!$H$30)&gt;0,IF(BV$4=EDATE('APA Inputs'!$C$30,'APA Inputs'!$H$30-1),N('APA Inputs'!$G$30),0),0))*IF('APA Inputs'!$I$30="",1,'APA Inputs'!$I$30))</f>
        <v>0</v>
      </c>
      <c r="BW15" s="409" t="n">
        <f aca="false">IF('APA Inputs'!$C$30="",0,(IF(AND(BW$4&gt;='APA Inputs'!$C$30,BW$4&lt;EDATE('APA Inputs'!$C$30,N('APA Inputs'!$D$30))),'APA Inputs'!$J$30,0)+IF(N('APA Inputs'!$H$30)&gt;0,IF(BW$4=EDATE('APA Inputs'!$C$30,'APA Inputs'!$H$30-1),N('APA Inputs'!$G$30),0),0))*IF('APA Inputs'!$I$30="",1,'APA Inputs'!$I$30))</f>
        <v>0</v>
      </c>
      <c r="BX15" s="409" t="n">
        <f aca="false">IF('APA Inputs'!$C$30="",0,(IF(AND(BX$4&gt;='APA Inputs'!$C$30,BX$4&lt;EDATE('APA Inputs'!$C$30,N('APA Inputs'!$D$30))),'APA Inputs'!$J$30,0)+IF(N('APA Inputs'!$H$30)&gt;0,IF(BX$4=EDATE('APA Inputs'!$C$30,'APA Inputs'!$H$30-1),N('APA Inputs'!$G$30),0),0))*IF('APA Inputs'!$I$30="",1,'APA Inputs'!$I$30))</f>
        <v>0</v>
      </c>
      <c r="BY15" s="409" t="n">
        <f aca="false">IF('APA Inputs'!$C$30="",0,(IF(AND(BY$4&gt;='APA Inputs'!$C$30,BY$4&lt;EDATE('APA Inputs'!$C$30,N('APA Inputs'!$D$30))),'APA Inputs'!$J$30,0)+IF(N('APA Inputs'!$H$30)&gt;0,IF(BY$4=EDATE('APA Inputs'!$C$30,'APA Inputs'!$H$30-1),N('APA Inputs'!$G$30),0),0))*IF('APA Inputs'!$I$30="",1,'APA Inputs'!$I$30))</f>
        <v>0</v>
      </c>
      <c r="BZ15" s="409" t="n">
        <f aca="false">IF('APA Inputs'!$C$30="",0,(IF(AND(BZ$4&gt;='APA Inputs'!$C$30,BZ$4&lt;EDATE('APA Inputs'!$C$30,N('APA Inputs'!$D$30))),'APA Inputs'!$J$30,0)+IF(N('APA Inputs'!$H$30)&gt;0,IF(BZ$4=EDATE('APA Inputs'!$C$30,'APA Inputs'!$H$30-1),N('APA Inputs'!$G$30),0),0))*IF('APA Inputs'!$I$30="",1,'APA Inputs'!$I$30))</f>
        <v>0</v>
      </c>
      <c r="CA15" s="409" t="n">
        <f aca="false">IF('APA Inputs'!$C$30="",0,(IF(AND(CA$4&gt;='APA Inputs'!$C$30,CA$4&lt;EDATE('APA Inputs'!$C$30,N('APA Inputs'!$D$30))),'APA Inputs'!$J$30,0)+IF(N('APA Inputs'!$H$30)&gt;0,IF(CA$4=EDATE('APA Inputs'!$C$30,'APA Inputs'!$H$30-1),N('APA Inputs'!$G$30),0),0))*IF('APA Inputs'!$I$30="",1,'APA Inputs'!$I$30))</f>
        <v>0</v>
      </c>
      <c r="CB15" s="409" t="n">
        <f aca="false">IF('APA Inputs'!$C$30="",0,(IF(AND(CB$4&gt;='APA Inputs'!$C$30,CB$4&lt;EDATE('APA Inputs'!$C$30,N('APA Inputs'!$D$30))),'APA Inputs'!$J$30,0)+IF(N('APA Inputs'!$H$30)&gt;0,IF(CB$4=EDATE('APA Inputs'!$C$30,'APA Inputs'!$H$30-1),N('APA Inputs'!$G$30),0),0))*IF('APA Inputs'!$I$30="",1,'APA Inputs'!$I$30))</f>
        <v>0</v>
      </c>
      <c r="CC15" s="409" t="n">
        <f aca="false">IF('APA Inputs'!$C$30="",0,(IF(AND(CC$4&gt;='APA Inputs'!$C$30,CC$4&lt;EDATE('APA Inputs'!$C$30,N('APA Inputs'!$D$30))),'APA Inputs'!$J$30,0)+IF(N('APA Inputs'!$H$30)&gt;0,IF(CC$4=EDATE('APA Inputs'!$C$30,'APA Inputs'!$H$30-1),N('APA Inputs'!$G$30),0),0))*IF('APA Inputs'!$I$30="",1,'APA Inputs'!$I$30))</f>
        <v>0</v>
      </c>
      <c r="CD15" s="409" t="n">
        <f aca="false">IF('APA Inputs'!$C$30="",0,(IF(AND(CD$4&gt;='APA Inputs'!$C$30,CD$4&lt;EDATE('APA Inputs'!$C$30,N('APA Inputs'!$D$30))),'APA Inputs'!$J$30,0)+IF(N('APA Inputs'!$H$30)&gt;0,IF(CD$4=EDATE('APA Inputs'!$C$30,'APA Inputs'!$H$30-1),N('APA Inputs'!$G$30),0),0))*IF('APA Inputs'!$I$30="",1,'APA Inputs'!$I$30))</f>
        <v>0</v>
      </c>
      <c r="CE15" s="409" t="n">
        <f aca="false">IF('APA Inputs'!$C$30="",0,(IF(AND(CE$4&gt;='APA Inputs'!$C$30,CE$4&lt;EDATE('APA Inputs'!$C$30,N('APA Inputs'!$D$30))),'APA Inputs'!$J$30,0)+IF(N('APA Inputs'!$H$30)&gt;0,IF(CE$4=EDATE('APA Inputs'!$C$30,'APA Inputs'!$H$30-1),N('APA Inputs'!$G$30),0),0))*IF('APA Inputs'!$I$30="",1,'APA Inputs'!$I$30))</f>
        <v>0</v>
      </c>
      <c r="CF15" s="409" t="n">
        <f aca="false">IF('APA Inputs'!$C$30="",0,(IF(AND(CF$4&gt;='APA Inputs'!$C$30,CF$4&lt;EDATE('APA Inputs'!$C$30,N('APA Inputs'!$D$30))),'APA Inputs'!$J$30,0)+IF(N('APA Inputs'!$H$30)&gt;0,IF(CF$4=EDATE('APA Inputs'!$C$30,'APA Inputs'!$H$30-1),N('APA Inputs'!$G$30),0),0))*IF('APA Inputs'!$I$30="",1,'APA Inputs'!$I$30))</f>
        <v>0</v>
      </c>
      <c r="CG15" s="409" t="n">
        <f aca="false">IF('APA Inputs'!$C$30="",0,(IF(AND(CG$4&gt;='APA Inputs'!$C$30,CG$4&lt;EDATE('APA Inputs'!$C$30,N('APA Inputs'!$D$30))),'APA Inputs'!$J$30,0)+IF(N('APA Inputs'!$H$30)&gt;0,IF(CG$4=EDATE('APA Inputs'!$C$30,'APA Inputs'!$H$30-1),N('APA Inputs'!$G$30),0),0))*IF('APA Inputs'!$I$30="",1,'APA Inputs'!$I$30))</f>
        <v>0</v>
      </c>
      <c r="CH15" s="409" t="n">
        <f aca="false">IF('APA Inputs'!$C$30="",0,(IF(AND(CH$4&gt;='APA Inputs'!$C$30,CH$4&lt;EDATE('APA Inputs'!$C$30,N('APA Inputs'!$D$30))),'APA Inputs'!$J$30,0)+IF(N('APA Inputs'!$H$30)&gt;0,IF(CH$4=EDATE('APA Inputs'!$C$30,'APA Inputs'!$H$30-1),N('APA Inputs'!$G$30),0),0))*IF('APA Inputs'!$I$30="",1,'APA Inputs'!$I$30))</f>
        <v>0</v>
      </c>
      <c r="CI15" s="409" t="n">
        <f aca="false">IF('APA Inputs'!$C$30="",0,(IF(AND(CI$4&gt;='APA Inputs'!$C$30,CI$4&lt;EDATE('APA Inputs'!$C$30,N('APA Inputs'!$D$30))),'APA Inputs'!$J$30,0)+IF(N('APA Inputs'!$H$30)&gt;0,IF(CI$4=EDATE('APA Inputs'!$C$30,'APA Inputs'!$H$30-1),N('APA Inputs'!$G$30),0),0))*IF('APA Inputs'!$I$30="",1,'APA Inputs'!$I$30))</f>
        <v>0</v>
      </c>
      <c r="CJ15" s="409" t="n">
        <f aca="false">IF('APA Inputs'!$C$30="",0,(IF(AND(CJ$4&gt;='APA Inputs'!$C$30,CJ$4&lt;EDATE('APA Inputs'!$C$30,N('APA Inputs'!$D$30))),'APA Inputs'!$J$30,0)+IF(N('APA Inputs'!$H$30)&gt;0,IF(CJ$4=EDATE('APA Inputs'!$C$30,'APA Inputs'!$H$30-1),N('APA Inputs'!$G$30),0),0))*IF('APA Inputs'!$I$30="",1,'APA Inputs'!$I$30))</f>
        <v>0</v>
      </c>
      <c r="CK15" s="409" t="n">
        <f aca="false">IF('APA Inputs'!$C$30="",0,(IF(AND(CK$4&gt;='APA Inputs'!$C$30,CK$4&lt;EDATE('APA Inputs'!$C$30,N('APA Inputs'!$D$30))),'APA Inputs'!$J$30,0)+IF(N('APA Inputs'!$H$30)&gt;0,IF(CK$4=EDATE('APA Inputs'!$C$30,'APA Inputs'!$H$30-1),N('APA Inputs'!$G$30),0),0))*IF('APA Inputs'!$I$30="",1,'APA Inputs'!$I$30))</f>
        <v>0</v>
      </c>
      <c r="CL15" s="409" t="n">
        <f aca="false">IF('APA Inputs'!$C$30="",0,(IF(AND(CL$4&gt;='APA Inputs'!$C$30,CL$4&lt;EDATE('APA Inputs'!$C$30,N('APA Inputs'!$D$30))),'APA Inputs'!$J$30,0)+IF(N('APA Inputs'!$H$30)&gt;0,IF(CL$4=EDATE('APA Inputs'!$C$30,'APA Inputs'!$H$30-1),N('APA Inputs'!$G$30),0),0))*IF('APA Inputs'!$I$30="",1,'APA Inputs'!$I$30))</f>
        <v>0</v>
      </c>
      <c r="CM15" s="409" t="n">
        <f aca="false">IF('APA Inputs'!$C$30="",0,(IF(AND(CM$4&gt;='APA Inputs'!$C$30,CM$4&lt;EDATE('APA Inputs'!$C$30,N('APA Inputs'!$D$30))),'APA Inputs'!$J$30,0)+IF(N('APA Inputs'!$H$30)&gt;0,IF(CM$4=EDATE('APA Inputs'!$C$30,'APA Inputs'!$H$30-1),N('APA Inputs'!$G$30),0),0))*IF('APA Inputs'!$I$30="",1,'APA Inputs'!$I$30))</f>
        <v>0</v>
      </c>
      <c r="CN15" s="409" t="n">
        <f aca="false">IF('APA Inputs'!$C$30="",0,(IF(AND(CN$4&gt;='APA Inputs'!$C$30,CN$4&lt;EDATE('APA Inputs'!$C$30,N('APA Inputs'!$D$30))),'APA Inputs'!$J$30,0)+IF(N('APA Inputs'!$H$30)&gt;0,IF(CN$4=EDATE('APA Inputs'!$C$30,'APA Inputs'!$H$30-1),N('APA Inputs'!$G$30),0),0))*IF('APA Inputs'!$I$30="",1,'APA Inputs'!$I$30))</f>
        <v>0</v>
      </c>
      <c r="CO15" s="409" t="n">
        <f aca="false">IF('APA Inputs'!$C$30="",0,(IF(AND(CO$4&gt;='APA Inputs'!$C$30,CO$4&lt;EDATE('APA Inputs'!$C$30,N('APA Inputs'!$D$30))),'APA Inputs'!$J$30,0)+IF(N('APA Inputs'!$H$30)&gt;0,IF(CO$4=EDATE('APA Inputs'!$C$30,'APA Inputs'!$H$30-1),N('APA Inputs'!$G$30),0),0))*IF('APA Inputs'!$I$30="",1,'APA Inputs'!$I$30))</f>
        <v>0</v>
      </c>
      <c r="CP15" s="409" t="n">
        <f aca="false">IF('APA Inputs'!$C$30="",0,(IF(AND(CP$4&gt;='APA Inputs'!$C$30,CP$4&lt;EDATE('APA Inputs'!$C$30,N('APA Inputs'!$D$30))),'APA Inputs'!$J$30,0)+IF(N('APA Inputs'!$H$30)&gt;0,IF(CP$4=EDATE('APA Inputs'!$C$30,'APA Inputs'!$H$30-1),N('APA Inputs'!$G$30),0),0))*IF('APA Inputs'!$I$30="",1,'APA Inputs'!$I$30))</f>
        <v>0</v>
      </c>
      <c r="CQ15" s="409" t="n">
        <f aca="false">IF('APA Inputs'!$C$30="",0,(IF(AND(CQ$4&gt;='APA Inputs'!$C$30,CQ$4&lt;EDATE('APA Inputs'!$C$30,N('APA Inputs'!$D$30))),'APA Inputs'!$J$30,0)+IF(N('APA Inputs'!$H$30)&gt;0,IF(CQ$4=EDATE('APA Inputs'!$C$30,'APA Inputs'!$H$30-1),N('APA Inputs'!$G$30),0),0))*IF('APA Inputs'!$I$30="",1,'APA Inputs'!$I$30))</f>
        <v>0</v>
      </c>
      <c r="CR15" s="409" t="n">
        <f aca="false">IF('APA Inputs'!$C$30="",0,(IF(AND(CR$4&gt;='APA Inputs'!$C$30,CR$4&lt;EDATE('APA Inputs'!$C$30,N('APA Inputs'!$D$30))),'APA Inputs'!$J$30,0)+IF(N('APA Inputs'!$H$30)&gt;0,IF(CR$4=EDATE('APA Inputs'!$C$30,'APA Inputs'!$H$30-1),N('APA Inputs'!$G$30),0),0))*IF('APA Inputs'!$I$30="",1,'APA Inputs'!$I$30))</f>
        <v>0</v>
      </c>
      <c r="CS15" s="409" t="n">
        <f aca="false">IF('APA Inputs'!$C$30="",0,(IF(AND(CS$4&gt;='APA Inputs'!$C$30,CS$4&lt;EDATE('APA Inputs'!$C$30,N('APA Inputs'!$D$30))),'APA Inputs'!$J$30,0)+IF(N('APA Inputs'!$H$30)&gt;0,IF(CS$4=EDATE('APA Inputs'!$C$30,'APA Inputs'!$H$30-1),N('APA Inputs'!$G$30),0),0))*IF('APA Inputs'!$I$30="",1,'APA Inputs'!$I$30))</f>
        <v>0</v>
      </c>
      <c r="CT15" s="409" t="n">
        <f aca="false">IF('APA Inputs'!$C$30="",0,(IF(AND(CT$4&gt;='APA Inputs'!$C$30,CT$4&lt;EDATE('APA Inputs'!$C$30,N('APA Inputs'!$D$30))),'APA Inputs'!$J$30,0)+IF(N('APA Inputs'!$H$30)&gt;0,IF(CT$4=EDATE('APA Inputs'!$C$30,'APA Inputs'!$H$30-1),N('APA Inputs'!$G$30),0),0))*IF('APA Inputs'!$I$30="",1,'APA Inputs'!$I$30))</f>
        <v>0</v>
      </c>
      <c r="CU15" s="409" t="n">
        <f aca="false">IF('APA Inputs'!$C$30="",0,(IF(AND(CU$4&gt;='APA Inputs'!$C$30,CU$4&lt;EDATE('APA Inputs'!$C$30,N('APA Inputs'!$D$30))),'APA Inputs'!$J$30,0)+IF(N('APA Inputs'!$H$30)&gt;0,IF(CU$4=EDATE('APA Inputs'!$C$30,'APA Inputs'!$H$30-1),N('APA Inputs'!$G$30),0),0))*IF('APA Inputs'!$I$30="",1,'APA Inputs'!$I$30))</f>
        <v>0</v>
      </c>
      <c r="CV15" s="409" t="n">
        <f aca="false">IF('APA Inputs'!$C$30="",0,(IF(AND(CV$4&gt;='APA Inputs'!$C$30,CV$4&lt;EDATE('APA Inputs'!$C$30,N('APA Inputs'!$D$30))),'APA Inputs'!$J$30,0)+IF(N('APA Inputs'!$H$30)&gt;0,IF(CV$4=EDATE('APA Inputs'!$C$30,'APA Inputs'!$H$30-1),N('APA Inputs'!$G$30),0),0))*IF('APA Inputs'!$I$30="",1,'APA Inputs'!$I$30))</f>
        <v>0</v>
      </c>
      <c r="CW15" s="409" t="n">
        <f aca="false">IF('APA Inputs'!$C$30="",0,(IF(AND(CW$4&gt;='APA Inputs'!$C$30,CW$4&lt;EDATE('APA Inputs'!$C$30,N('APA Inputs'!$D$30))),'APA Inputs'!$J$30,0)+IF(N('APA Inputs'!$H$30)&gt;0,IF(CW$4=EDATE('APA Inputs'!$C$30,'APA Inputs'!$H$30-1),N('APA Inputs'!$G$30),0),0))*IF('APA Inputs'!$I$30="",1,'APA Inputs'!$I$30))</f>
        <v>0</v>
      </c>
      <c r="CX15" s="409" t="n">
        <f aca="false">IF('APA Inputs'!$C$30="",0,(IF(AND(CX$4&gt;='APA Inputs'!$C$30,CX$4&lt;EDATE('APA Inputs'!$C$30,N('APA Inputs'!$D$30))),'APA Inputs'!$J$30,0)+IF(N('APA Inputs'!$H$30)&gt;0,IF(CX$4=EDATE('APA Inputs'!$C$30,'APA Inputs'!$H$30-1),N('APA Inputs'!$G$30),0),0))*IF('APA Inputs'!$I$30="",1,'APA Inputs'!$I$30))</f>
        <v>0</v>
      </c>
      <c r="CY15" s="409" t="n">
        <f aca="false">IF('APA Inputs'!$C$30="",0,(IF(AND(CY$4&gt;='APA Inputs'!$C$30,CY$4&lt;EDATE('APA Inputs'!$C$30,N('APA Inputs'!$D$30))),'APA Inputs'!$J$30,0)+IF(N('APA Inputs'!$H$30)&gt;0,IF(CY$4=EDATE('APA Inputs'!$C$30,'APA Inputs'!$H$30-1),N('APA Inputs'!$G$30),0),0))*IF('APA Inputs'!$I$30="",1,'APA Inputs'!$I$30))</f>
        <v>0</v>
      </c>
      <c r="CZ15" s="409" t="n">
        <f aca="false">IF('APA Inputs'!$C$30="",0,(IF(AND(CZ$4&gt;='APA Inputs'!$C$30,CZ$4&lt;EDATE('APA Inputs'!$C$30,N('APA Inputs'!$D$30))),'APA Inputs'!$J$30,0)+IF(N('APA Inputs'!$H$30)&gt;0,IF(CZ$4=EDATE('APA Inputs'!$C$30,'APA Inputs'!$H$30-1),N('APA Inputs'!$G$30),0),0))*IF('APA Inputs'!$I$30="",1,'APA Inputs'!$I$30))</f>
        <v>0</v>
      </c>
      <c r="DA15" s="409" t="n">
        <f aca="false">IF('APA Inputs'!$C$30="",0,(IF(AND(DA$4&gt;='APA Inputs'!$C$30,DA$4&lt;EDATE('APA Inputs'!$C$30,N('APA Inputs'!$D$30))),'APA Inputs'!$J$30,0)+IF(N('APA Inputs'!$H$30)&gt;0,IF(DA$4=EDATE('APA Inputs'!$C$30,'APA Inputs'!$H$30-1),N('APA Inputs'!$G$30),0),0))*IF('APA Inputs'!$I$30="",1,'APA Inputs'!$I$30))</f>
        <v>0</v>
      </c>
      <c r="DB15" s="409" t="n">
        <f aca="false">IF('APA Inputs'!$C$30="",0,(IF(AND(DB$4&gt;='APA Inputs'!$C$30,DB$4&lt;EDATE('APA Inputs'!$C$30,N('APA Inputs'!$D$30))),'APA Inputs'!$J$30,0)+IF(N('APA Inputs'!$H$30)&gt;0,IF(DB$4=EDATE('APA Inputs'!$C$30,'APA Inputs'!$H$30-1),N('APA Inputs'!$G$30),0),0))*IF('APA Inputs'!$I$30="",1,'APA Inputs'!$I$30))</f>
        <v>0</v>
      </c>
      <c r="DC15" s="409" t="n">
        <f aca="false">IF('APA Inputs'!$C$30="",0,(IF(AND(DC$4&gt;='APA Inputs'!$C$30,DC$4&lt;EDATE('APA Inputs'!$C$30,N('APA Inputs'!$D$30))),'APA Inputs'!$J$30,0)+IF(N('APA Inputs'!$H$30)&gt;0,IF(DC$4=EDATE('APA Inputs'!$C$30,'APA Inputs'!$H$30-1),N('APA Inputs'!$G$30),0),0))*IF('APA Inputs'!$I$30="",1,'APA Inputs'!$I$30))</f>
        <v>0</v>
      </c>
      <c r="DD15" s="409" t="n">
        <f aca="false">IF('APA Inputs'!$C$30="",0,(IF(AND(DD$4&gt;='APA Inputs'!$C$30,DD$4&lt;EDATE('APA Inputs'!$C$30,N('APA Inputs'!$D$30))),'APA Inputs'!$J$30,0)+IF(N('APA Inputs'!$H$30)&gt;0,IF(DD$4=EDATE('APA Inputs'!$C$30,'APA Inputs'!$H$30-1),N('APA Inputs'!$G$30),0),0))*IF('APA Inputs'!$I$30="",1,'APA Inputs'!$I$30))</f>
        <v>0</v>
      </c>
      <c r="DE15" s="40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09" t="n">
        <f aca="false">IF('APA Inputs'!$C$31="",0,(IF(AND(B$4&gt;='APA Inputs'!$C$31,B$4&lt;EDATE('APA Inputs'!$C$31,N('APA Inputs'!$D$31))),'APA Inputs'!$J$31,0)+IF(N('APA Inputs'!$H$31)&gt;0,IF(B$4=EDATE('APA Inputs'!$C$31,'APA Inputs'!$H$31-1),N('APA Inputs'!$G$31),0),0))*IF('APA Inputs'!$I$31="",1,'APA Inputs'!$I$31))</f>
        <v>0</v>
      </c>
      <c r="C16" s="409" t="n">
        <f aca="false">IF('APA Inputs'!$C$31="",0,(IF(AND(C$4&gt;='APA Inputs'!$C$31,C$4&lt;EDATE('APA Inputs'!$C$31,N('APA Inputs'!$D$31))),'APA Inputs'!$J$31,0)+IF(N('APA Inputs'!$H$31)&gt;0,IF(C$4=EDATE('APA Inputs'!$C$31,'APA Inputs'!$H$31-1),N('APA Inputs'!$G$31),0),0))*IF('APA Inputs'!$I$31="",1,'APA Inputs'!$I$31))</f>
        <v>0</v>
      </c>
      <c r="D16" s="409" t="n">
        <f aca="false">IF('APA Inputs'!$C$31="",0,(IF(AND(D$4&gt;='APA Inputs'!$C$31,D$4&lt;EDATE('APA Inputs'!$C$31,N('APA Inputs'!$D$31))),'APA Inputs'!$J$31,0)+IF(N('APA Inputs'!$H$31)&gt;0,IF(D$4=EDATE('APA Inputs'!$C$31,'APA Inputs'!$H$31-1),N('APA Inputs'!$G$31),0),0))*IF('APA Inputs'!$I$31="",1,'APA Inputs'!$I$31))</f>
        <v>0</v>
      </c>
      <c r="E16" s="409" t="n">
        <f aca="false">IF('APA Inputs'!$C$31="",0,(IF(AND(E$4&gt;='APA Inputs'!$C$31,E$4&lt;EDATE('APA Inputs'!$C$31,N('APA Inputs'!$D$31))),'APA Inputs'!$J$31,0)+IF(N('APA Inputs'!$H$31)&gt;0,IF(E$4=EDATE('APA Inputs'!$C$31,'APA Inputs'!$H$31-1),N('APA Inputs'!$G$31),0),0))*IF('APA Inputs'!$I$31="",1,'APA Inputs'!$I$31))</f>
        <v>0</v>
      </c>
      <c r="F16" s="409" t="n">
        <f aca="false">IF('APA Inputs'!$C$31="",0,(IF(AND(F$4&gt;='APA Inputs'!$C$31,F$4&lt;EDATE('APA Inputs'!$C$31,N('APA Inputs'!$D$31))),'APA Inputs'!$J$31,0)+IF(N('APA Inputs'!$H$31)&gt;0,IF(F$4=EDATE('APA Inputs'!$C$31,'APA Inputs'!$H$31-1),N('APA Inputs'!$G$31),0),0))*IF('APA Inputs'!$I$31="",1,'APA Inputs'!$I$31))</f>
        <v>0</v>
      </c>
      <c r="G16" s="409" t="n">
        <f aca="false">IF('APA Inputs'!$C$31="",0,(IF(AND(G$4&gt;='APA Inputs'!$C$31,G$4&lt;EDATE('APA Inputs'!$C$31,N('APA Inputs'!$D$31))),'APA Inputs'!$J$31,0)+IF(N('APA Inputs'!$H$31)&gt;0,IF(G$4=EDATE('APA Inputs'!$C$31,'APA Inputs'!$H$31-1),N('APA Inputs'!$G$31),0),0))*IF('APA Inputs'!$I$31="",1,'APA Inputs'!$I$31))</f>
        <v>0</v>
      </c>
      <c r="H16" s="409" t="n">
        <f aca="false">IF('APA Inputs'!$C$31="",0,(IF(AND(H$4&gt;='APA Inputs'!$C$31,H$4&lt;EDATE('APA Inputs'!$C$31,N('APA Inputs'!$D$31))),'APA Inputs'!$J$31,0)+IF(N('APA Inputs'!$H$31)&gt;0,IF(H$4=EDATE('APA Inputs'!$C$31,'APA Inputs'!$H$31-1),N('APA Inputs'!$G$31),0),0))*IF('APA Inputs'!$I$31="",1,'APA Inputs'!$I$31))</f>
        <v>0</v>
      </c>
      <c r="I16" s="409" t="n">
        <f aca="false">IF('APA Inputs'!$C$31="",0,(IF(AND(I$4&gt;='APA Inputs'!$C$31,I$4&lt;EDATE('APA Inputs'!$C$31,N('APA Inputs'!$D$31))),'APA Inputs'!$J$31,0)+IF(N('APA Inputs'!$H$31)&gt;0,IF(I$4=EDATE('APA Inputs'!$C$31,'APA Inputs'!$H$31-1),N('APA Inputs'!$G$31),0),0))*IF('APA Inputs'!$I$31="",1,'APA Inputs'!$I$31))</f>
        <v>0</v>
      </c>
      <c r="J16" s="409" t="n">
        <f aca="false">IF('APA Inputs'!$C$31="",0,(IF(AND(J$4&gt;='APA Inputs'!$C$31,J$4&lt;EDATE('APA Inputs'!$C$31,N('APA Inputs'!$D$31))),'APA Inputs'!$J$31,0)+IF(N('APA Inputs'!$H$31)&gt;0,IF(J$4=EDATE('APA Inputs'!$C$31,'APA Inputs'!$H$31-1),N('APA Inputs'!$G$31),0),0))*IF('APA Inputs'!$I$31="",1,'APA Inputs'!$I$31))</f>
        <v>0</v>
      </c>
      <c r="K16" s="409" t="n">
        <f aca="false">IF('APA Inputs'!$C$31="",0,(IF(AND(K$4&gt;='APA Inputs'!$C$31,K$4&lt;EDATE('APA Inputs'!$C$31,N('APA Inputs'!$D$31))),'APA Inputs'!$J$31,0)+IF(N('APA Inputs'!$H$31)&gt;0,IF(K$4=EDATE('APA Inputs'!$C$31,'APA Inputs'!$H$31-1),N('APA Inputs'!$G$31),0),0))*IF('APA Inputs'!$I$31="",1,'APA Inputs'!$I$31))</f>
        <v>0</v>
      </c>
      <c r="L16" s="409" t="n">
        <f aca="false">IF('APA Inputs'!$C$31="",0,(IF(AND(L$4&gt;='APA Inputs'!$C$31,L$4&lt;EDATE('APA Inputs'!$C$31,N('APA Inputs'!$D$31))),'APA Inputs'!$J$31,0)+IF(N('APA Inputs'!$H$31)&gt;0,IF(L$4=EDATE('APA Inputs'!$C$31,'APA Inputs'!$H$31-1),N('APA Inputs'!$G$31),0),0))*IF('APA Inputs'!$I$31="",1,'APA Inputs'!$I$31))</f>
        <v>0</v>
      </c>
      <c r="M16" s="409" t="n">
        <f aca="false">IF('APA Inputs'!$C$31="",0,(IF(AND(M$4&gt;='APA Inputs'!$C$31,M$4&lt;EDATE('APA Inputs'!$C$31,N('APA Inputs'!$D$31))),'APA Inputs'!$J$31,0)+IF(N('APA Inputs'!$H$31)&gt;0,IF(M$4=EDATE('APA Inputs'!$C$31,'APA Inputs'!$H$31-1),N('APA Inputs'!$G$31),0),0))*IF('APA Inputs'!$I$31="",1,'APA Inputs'!$I$31))</f>
        <v>0</v>
      </c>
      <c r="N16" s="409" t="n">
        <f aca="false">IF('APA Inputs'!$C$31="",0,(IF(AND(N$4&gt;='APA Inputs'!$C$31,N$4&lt;EDATE('APA Inputs'!$C$31,N('APA Inputs'!$D$31))),'APA Inputs'!$J$31,0)+IF(N('APA Inputs'!$H$31)&gt;0,IF(N$4=EDATE('APA Inputs'!$C$31,'APA Inputs'!$H$31-1),N('APA Inputs'!$G$31),0),0))*IF('APA Inputs'!$I$31="",1,'APA Inputs'!$I$31))</f>
        <v>0</v>
      </c>
      <c r="O16" s="409" t="n">
        <f aca="false">IF('APA Inputs'!$C$31="",0,(IF(AND(O$4&gt;='APA Inputs'!$C$31,O$4&lt;EDATE('APA Inputs'!$C$31,N('APA Inputs'!$D$31))),'APA Inputs'!$J$31,0)+IF(N('APA Inputs'!$H$31)&gt;0,IF(O$4=EDATE('APA Inputs'!$C$31,'APA Inputs'!$H$31-1),N('APA Inputs'!$G$31),0),0))*IF('APA Inputs'!$I$31="",1,'APA Inputs'!$I$31))</f>
        <v>0</v>
      </c>
      <c r="P16" s="409" t="n">
        <f aca="false">IF('APA Inputs'!$C$31="",0,(IF(AND(P$4&gt;='APA Inputs'!$C$31,P$4&lt;EDATE('APA Inputs'!$C$31,N('APA Inputs'!$D$31))),'APA Inputs'!$J$31,0)+IF(N('APA Inputs'!$H$31)&gt;0,IF(P$4=EDATE('APA Inputs'!$C$31,'APA Inputs'!$H$31-1),N('APA Inputs'!$G$31),0),0))*IF('APA Inputs'!$I$31="",1,'APA Inputs'!$I$31))</f>
        <v>0</v>
      </c>
      <c r="Q16" s="409" t="n">
        <f aca="false">IF('APA Inputs'!$C$31="",0,(IF(AND(Q$4&gt;='APA Inputs'!$C$31,Q$4&lt;EDATE('APA Inputs'!$C$31,N('APA Inputs'!$D$31))),'APA Inputs'!$J$31,0)+IF(N('APA Inputs'!$H$31)&gt;0,IF(Q$4=EDATE('APA Inputs'!$C$31,'APA Inputs'!$H$31-1),N('APA Inputs'!$G$31),0),0))*IF('APA Inputs'!$I$31="",1,'APA Inputs'!$I$31))</f>
        <v>0</v>
      </c>
      <c r="R16" s="409" t="n">
        <f aca="false">IF('APA Inputs'!$C$31="",0,(IF(AND(R$4&gt;='APA Inputs'!$C$31,R$4&lt;EDATE('APA Inputs'!$C$31,N('APA Inputs'!$D$31))),'APA Inputs'!$J$31,0)+IF(N('APA Inputs'!$H$31)&gt;0,IF(R$4=EDATE('APA Inputs'!$C$31,'APA Inputs'!$H$31-1),N('APA Inputs'!$G$31),0),0))*IF('APA Inputs'!$I$31="",1,'APA Inputs'!$I$31))</f>
        <v>0</v>
      </c>
      <c r="S16" s="409" t="n">
        <f aca="false">IF('APA Inputs'!$C$31="",0,(IF(AND(S$4&gt;='APA Inputs'!$C$31,S$4&lt;EDATE('APA Inputs'!$C$31,N('APA Inputs'!$D$31))),'APA Inputs'!$J$31,0)+IF(N('APA Inputs'!$H$31)&gt;0,IF(S$4=EDATE('APA Inputs'!$C$31,'APA Inputs'!$H$31-1),N('APA Inputs'!$G$31),0),0))*IF('APA Inputs'!$I$31="",1,'APA Inputs'!$I$31))</f>
        <v>0</v>
      </c>
      <c r="T16" s="409" t="n">
        <f aca="false">IF('APA Inputs'!$C$31="",0,(IF(AND(T$4&gt;='APA Inputs'!$C$31,T$4&lt;EDATE('APA Inputs'!$C$31,N('APA Inputs'!$D$31))),'APA Inputs'!$J$31,0)+IF(N('APA Inputs'!$H$31)&gt;0,IF(T$4=EDATE('APA Inputs'!$C$31,'APA Inputs'!$H$31-1),N('APA Inputs'!$G$31),0),0))*IF('APA Inputs'!$I$31="",1,'APA Inputs'!$I$31))</f>
        <v>0</v>
      </c>
      <c r="U16" s="409" t="n">
        <f aca="false">IF('APA Inputs'!$C$31="",0,(IF(AND(U$4&gt;='APA Inputs'!$C$31,U$4&lt;EDATE('APA Inputs'!$C$31,N('APA Inputs'!$D$31))),'APA Inputs'!$J$31,0)+IF(N('APA Inputs'!$H$31)&gt;0,IF(U$4=EDATE('APA Inputs'!$C$31,'APA Inputs'!$H$31-1),N('APA Inputs'!$G$31),0),0))*IF('APA Inputs'!$I$31="",1,'APA Inputs'!$I$31))</f>
        <v>0</v>
      </c>
      <c r="V16" s="409" t="n">
        <f aca="false">IF('APA Inputs'!$C$31="",0,(IF(AND(V$4&gt;='APA Inputs'!$C$31,V$4&lt;EDATE('APA Inputs'!$C$31,N('APA Inputs'!$D$31))),'APA Inputs'!$J$31,0)+IF(N('APA Inputs'!$H$31)&gt;0,IF(V$4=EDATE('APA Inputs'!$C$31,'APA Inputs'!$H$31-1),N('APA Inputs'!$G$31),0),0))*IF('APA Inputs'!$I$31="",1,'APA Inputs'!$I$31))</f>
        <v>0</v>
      </c>
      <c r="W16" s="409" t="n">
        <f aca="false">IF('APA Inputs'!$C$31="",0,(IF(AND(W$4&gt;='APA Inputs'!$C$31,W$4&lt;EDATE('APA Inputs'!$C$31,N('APA Inputs'!$D$31))),'APA Inputs'!$J$31,0)+IF(N('APA Inputs'!$H$31)&gt;0,IF(W$4=EDATE('APA Inputs'!$C$31,'APA Inputs'!$H$31-1),N('APA Inputs'!$G$31),0),0))*IF('APA Inputs'!$I$31="",1,'APA Inputs'!$I$31))</f>
        <v>0</v>
      </c>
      <c r="X16" s="409" t="n">
        <f aca="false">IF('APA Inputs'!$C$31="",0,(IF(AND(X$4&gt;='APA Inputs'!$C$31,X$4&lt;EDATE('APA Inputs'!$C$31,N('APA Inputs'!$D$31))),'APA Inputs'!$J$31,0)+IF(N('APA Inputs'!$H$31)&gt;0,IF(X$4=EDATE('APA Inputs'!$C$31,'APA Inputs'!$H$31-1),N('APA Inputs'!$G$31),0),0))*IF('APA Inputs'!$I$31="",1,'APA Inputs'!$I$31))</f>
        <v>0</v>
      </c>
      <c r="Y16" s="409" t="n">
        <f aca="false">IF('APA Inputs'!$C$31="",0,(IF(AND(Y$4&gt;='APA Inputs'!$C$31,Y$4&lt;EDATE('APA Inputs'!$C$31,N('APA Inputs'!$D$31))),'APA Inputs'!$J$31,0)+IF(N('APA Inputs'!$H$31)&gt;0,IF(Y$4=EDATE('APA Inputs'!$C$31,'APA Inputs'!$H$31-1),N('APA Inputs'!$G$31),0),0))*IF('APA Inputs'!$I$31="",1,'APA Inputs'!$I$31))</f>
        <v>0</v>
      </c>
      <c r="Z16" s="409" t="n">
        <f aca="false">IF('APA Inputs'!$C$31="",0,(IF(AND(Z$4&gt;='APA Inputs'!$C$31,Z$4&lt;EDATE('APA Inputs'!$C$31,N('APA Inputs'!$D$31))),'APA Inputs'!$J$31,0)+IF(N('APA Inputs'!$H$31)&gt;0,IF(Z$4=EDATE('APA Inputs'!$C$31,'APA Inputs'!$H$31-1),N('APA Inputs'!$G$31),0),0))*IF('APA Inputs'!$I$31="",1,'APA Inputs'!$I$31))</f>
        <v>0</v>
      </c>
      <c r="AA16" s="409" t="n">
        <f aca="false">IF('APA Inputs'!$C$31="",0,(IF(AND(AA$4&gt;='APA Inputs'!$C$31,AA$4&lt;EDATE('APA Inputs'!$C$31,N('APA Inputs'!$D$31))),'APA Inputs'!$J$31,0)+IF(N('APA Inputs'!$H$31)&gt;0,IF(AA$4=EDATE('APA Inputs'!$C$31,'APA Inputs'!$H$31-1),N('APA Inputs'!$G$31),0),0))*IF('APA Inputs'!$I$31="",1,'APA Inputs'!$I$31))</f>
        <v>0</v>
      </c>
      <c r="AB16" s="409" t="n">
        <f aca="false">IF('APA Inputs'!$C$31="",0,(IF(AND(AB$4&gt;='APA Inputs'!$C$31,AB$4&lt;EDATE('APA Inputs'!$C$31,N('APA Inputs'!$D$31))),'APA Inputs'!$J$31,0)+IF(N('APA Inputs'!$H$31)&gt;0,IF(AB$4=EDATE('APA Inputs'!$C$31,'APA Inputs'!$H$31-1),N('APA Inputs'!$G$31),0),0))*IF('APA Inputs'!$I$31="",1,'APA Inputs'!$I$31))</f>
        <v>0</v>
      </c>
      <c r="AC16" s="409" t="n">
        <f aca="false">IF('APA Inputs'!$C$31="",0,(IF(AND(AC$4&gt;='APA Inputs'!$C$31,AC$4&lt;EDATE('APA Inputs'!$C$31,N('APA Inputs'!$D$31))),'APA Inputs'!$J$31,0)+IF(N('APA Inputs'!$H$31)&gt;0,IF(AC$4=EDATE('APA Inputs'!$C$31,'APA Inputs'!$H$31-1),N('APA Inputs'!$G$31),0),0))*IF('APA Inputs'!$I$31="",1,'APA Inputs'!$I$31))</f>
        <v>0</v>
      </c>
      <c r="AD16" s="409" t="n">
        <f aca="false">IF('APA Inputs'!$C$31="",0,(IF(AND(AD$4&gt;='APA Inputs'!$C$31,AD$4&lt;EDATE('APA Inputs'!$C$31,N('APA Inputs'!$D$31))),'APA Inputs'!$J$31,0)+IF(N('APA Inputs'!$H$31)&gt;0,IF(AD$4=EDATE('APA Inputs'!$C$31,'APA Inputs'!$H$31-1),N('APA Inputs'!$G$31),0),0))*IF('APA Inputs'!$I$31="",1,'APA Inputs'!$I$31))</f>
        <v>0</v>
      </c>
      <c r="AE16" s="409" t="n">
        <f aca="false">IF('APA Inputs'!$C$31="",0,(IF(AND(AE$4&gt;='APA Inputs'!$C$31,AE$4&lt;EDATE('APA Inputs'!$C$31,N('APA Inputs'!$D$31))),'APA Inputs'!$J$31,0)+IF(N('APA Inputs'!$H$31)&gt;0,IF(AE$4=EDATE('APA Inputs'!$C$31,'APA Inputs'!$H$31-1),N('APA Inputs'!$G$31),0),0))*IF('APA Inputs'!$I$31="",1,'APA Inputs'!$I$31))</f>
        <v>0</v>
      </c>
      <c r="AF16" s="409" t="n">
        <f aca="false">IF('APA Inputs'!$C$31="",0,(IF(AND(AF$4&gt;='APA Inputs'!$C$31,AF$4&lt;EDATE('APA Inputs'!$C$31,N('APA Inputs'!$D$31))),'APA Inputs'!$J$31,0)+IF(N('APA Inputs'!$H$31)&gt;0,IF(AF$4=EDATE('APA Inputs'!$C$31,'APA Inputs'!$H$31-1),N('APA Inputs'!$G$31),0),0))*IF('APA Inputs'!$I$31="",1,'APA Inputs'!$I$31))</f>
        <v>0</v>
      </c>
      <c r="AG16" s="409" t="n">
        <f aca="false">IF('APA Inputs'!$C$31="",0,(IF(AND(AG$4&gt;='APA Inputs'!$C$31,AG$4&lt;EDATE('APA Inputs'!$C$31,N('APA Inputs'!$D$31))),'APA Inputs'!$J$31,0)+IF(N('APA Inputs'!$H$31)&gt;0,IF(AG$4=EDATE('APA Inputs'!$C$31,'APA Inputs'!$H$31-1),N('APA Inputs'!$G$31),0),0))*IF('APA Inputs'!$I$31="",1,'APA Inputs'!$I$31))</f>
        <v>0</v>
      </c>
      <c r="AH16" s="409" t="n">
        <f aca="false">IF('APA Inputs'!$C$31="",0,(IF(AND(AH$4&gt;='APA Inputs'!$C$31,AH$4&lt;EDATE('APA Inputs'!$C$31,N('APA Inputs'!$D$31))),'APA Inputs'!$J$31,0)+IF(N('APA Inputs'!$H$31)&gt;0,IF(AH$4=EDATE('APA Inputs'!$C$31,'APA Inputs'!$H$31-1),N('APA Inputs'!$G$31),0),0))*IF('APA Inputs'!$I$31="",1,'APA Inputs'!$I$31))</f>
        <v>0</v>
      </c>
      <c r="AI16" s="409" t="n">
        <f aca="false">IF('APA Inputs'!$C$31="",0,(IF(AND(AI$4&gt;='APA Inputs'!$C$31,AI$4&lt;EDATE('APA Inputs'!$C$31,N('APA Inputs'!$D$31))),'APA Inputs'!$J$31,0)+IF(N('APA Inputs'!$H$31)&gt;0,IF(AI$4=EDATE('APA Inputs'!$C$31,'APA Inputs'!$H$31-1),N('APA Inputs'!$G$31),0),0))*IF('APA Inputs'!$I$31="",1,'APA Inputs'!$I$31))</f>
        <v>0</v>
      </c>
      <c r="AJ16" s="409" t="n">
        <f aca="false">IF('APA Inputs'!$C$31="",0,(IF(AND(AJ$4&gt;='APA Inputs'!$C$31,AJ$4&lt;EDATE('APA Inputs'!$C$31,N('APA Inputs'!$D$31))),'APA Inputs'!$J$31,0)+IF(N('APA Inputs'!$H$31)&gt;0,IF(AJ$4=EDATE('APA Inputs'!$C$31,'APA Inputs'!$H$31-1),N('APA Inputs'!$G$31),0),0))*IF('APA Inputs'!$I$31="",1,'APA Inputs'!$I$31))</f>
        <v>0</v>
      </c>
      <c r="AK16" s="409" t="n">
        <f aca="false">IF('APA Inputs'!$C$31="",0,(IF(AND(AK$4&gt;='APA Inputs'!$C$31,AK$4&lt;EDATE('APA Inputs'!$C$31,N('APA Inputs'!$D$31))),'APA Inputs'!$J$31,0)+IF(N('APA Inputs'!$H$31)&gt;0,IF(AK$4=EDATE('APA Inputs'!$C$31,'APA Inputs'!$H$31-1),N('APA Inputs'!$G$31),0),0))*IF('APA Inputs'!$I$31="",1,'APA Inputs'!$I$31))</f>
        <v>0</v>
      </c>
      <c r="AL16" s="409" t="n">
        <f aca="false">IF('APA Inputs'!$C$31="",0,(IF(AND(AL$4&gt;='APA Inputs'!$C$31,AL$4&lt;EDATE('APA Inputs'!$C$31,N('APA Inputs'!$D$31))),'APA Inputs'!$J$31,0)+IF(N('APA Inputs'!$H$31)&gt;0,IF(AL$4=EDATE('APA Inputs'!$C$31,'APA Inputs'!$H$31-1),N('APA Inputs'!$G$31),0),0))*IF('APA Inputs'!$I$31="",1,'APA Inputs'!$I$31))</f>
        <v>0</v>
      </c>
      <c r="AM16" s="409" t="n">
        <f aca="false">IF('APA Inputs'!$C$31="",0,(IF(AND(AM$4&gt;='APA Inputs'!$C$31,AM$4&lt;EDATE('APA Inputs'!$C$31,N('APA Inputs'!$D$31))),'APA Inputs'!$J$31,0)+IF(N('APA Inputs'!$H$31)&gt;0,IF(AM$4=EDATE('APA Inputs'!$C$31,'APA Inputs'!$H$31-1),N('APA Inputs'!$G$31),0),0))*IF('APA Inputs'!$I$31="",1,'APA Inputs'!$I$31))</f>
        <v>0</v>
      </c>
      <c r="AN16" s="409" t="n">
        <f aca="false">IF('APA Inputs'!$C$31="",0,(IF(AND(AN$4&gt;='APA Inputs'!$C$31,AN$4&lt;EDATE('APA Inputs'!$C$31,N('APA Inputs'!$D$31))),'APA Inputs'!$J$31,0)+IF(N('APA Inputs'!$H$31)&gt;0,IF(AN$4=EDATE('APA Inputs'!$C$31,'APA Inputs'!$H$31-1),N('APA Inputs'!$G$31),0),0))*IF('APA Inputs'!$I$31="",1,'APA Inputs'!$I$31))</f>
        <v>0</v>
      </c>
      <c r="AO16" s="409" t="n">
        <f aca="false">IF('APA Inputs'!$C$31="",0,(IF(AND(AO$4&gt;='APA Inputs'!$C$31,AO$4&lt;EDATE('APA Inputs'!$C$31,N('APA Inputs'!$D$31))),'APA Inputs'!$J$31,0)+IF(N('APA Inputs'!$H$31)&gt;0,IF(AO$4=EDATE('APA Inputs'!$C$31,'APA Inputs'!$H$31-1),N('APA Inputs'!$G$31),0),0))*IF('APA Inputs'!$I$31="",1,'APA Inputs'!$I$31))</f>
        <v>0</v>
      </c>
      <c r="AP16" s="409" t="n">
        <f aca="false">IF('APA Inputs'!$C$31="",0,(IF(AND(AP$4&gt;='APA Inputs'!$C$31,AP$4&lt;EDATE('APA Inputs'!$C$31,N('APA Inputs'!$D$31))),'APA Inputs'!$J$31,0)+IF(N('APA Inputs'!$H$31)&gt;0,IF(AP$4=EDATE('APA Inputs'!$C$31,'APA Inputs'!$H$31-1),N('APA Inputs'!$G$31),0),0))*IF('APA Inputs'!$I$31="",1,'APA Inputs'!$I$31))</f>
        <v>0</v>
      </c>
      <c r="AQ16" s="409" t="n">
        <f aca="false">IF('APA Inputs'!$C$31="",0,(IF(AND(AQ$4&gt;='APA Inputs'!$C$31,AQ$4&lt;EDATE('APA Inputs'!$C$31,N('APA Inputs'!$D$31))),'APA Inputs'!$J$31,0)+IF(N('APA Inputs'!$H$31)&gt;0,IF(AQ$4=EDATE('APA Inputs'!$C$31,'APA Inputs'!$H$31-1),N('APA Inputs'!$G$31),0),0))*IF('APA Inputs'!$I$31="",1,'APA Inputs'!$I$31))</f>
        <v>0</v>
      </c>
      <c r="AR16" s="409" t="n">
        <f aca="false">IF('APA Inputs'!$C$31="",0,(IF(AND(AR$4&gt;='APA Inputs'!$C$31,AR$4&lt;EDATE('APA Inputs'!$C$31,N('APA Inputs'!$D$31))),'APA Inputs'!$J$31,0)+IF(N('APA Inputs'!$H$31)&gt;0,IF(AR$4=EDATE('APA Inputs'!$C$31,'APA Inputs'!$H$31-1),N('APA Inputs'!$G$31),0),0))*IF('APA Inputs'!$I$31="",1,'APA Inputs'!$I$31))</f>
        <v>0</v>
      </c>
      <c r="AS16" s="409" t="n">
        <f aca="false">IF('APA Inputs'!$C$31="",0,(IF(AND(AS$4&gt;='APA Inputs'!$C$31,AS$4&lt;EDATE('APA Inputs'!$C$31,N('APA Inputs'!$D$31))),'APA Inputs'!$J$31,0)+IF(N('APA Inputs'!$H$31)&gt;0,IF(AS$4=EDATE('APA Inputs'!$C$31,'APA Inputs'!$H$31-1),N('APA Inputs'!$G$31),0),0))*IF('APA Inputs'!$I$31="",1,'APA Inputs'!$I$31))</f>
        <v>0</v>
      </c>
      <c r="AT16" s="409" t="n">
        <f aca="false">IF('APA Inputs'!$C$31="",0,(IF(AND(AT$4&gt;='APA Inputs'!$C$31,AT$4&lt;EDATE('APA Inputs'!$C$31,N('APA Inputs'!$D$31))),'APA Inputs'!$J$31,0)+IF(N('APA Inputs'!$H$31)&gt;0,IF(AT$4=EDATE('APA Inputs'!$C$31,'APA Inputs'!$H$31-1),N('APA Inputs'!$G$31),0),0))*IF('APA Inputs'!$I$31="",1,'APA Inputs'!$I$31))</f>
        <v>0</v>
      </c>
      <c r="AU16" s="409" t="n">
        <f aca="false">IF('APA Inputs'!$C$31="",0,(IF(AND(AU$4&gt;='APA Inputs'!$C$31,AU$4&lt;EDATE('APA Inputs'!$C$31,N('APA Inputs'!$D$31))),'APA Inputs'!$J$31,0)+IF(N('APA Inputs'!$H$31)&gt;0,IF(AU$4=EDATE('APA Inputs'!$C$31,'APA Inputs'!$H$31-1),N('APA Inputs'!$G$31),0),0))*IF('APA Inputs'!$I$31="",1,'APA Inputs'!$I$31))</f>
        <v>0</v>
      </c>
      <c r="AV16" s="409" t="n">
        <f aca="false">IF('APA Inputs'!$C$31="",0,(IF(AND(AV$4&gt;='APA Inputs'!$C$31,AV$4&lt;EDATE('APA Inputs'!$C$31,N('APA Inputs'!$D$31))),'APA Inputs'!$J$31,0)+IF(N('APA Inputs'!$H$31)&gt;0,IF(AV$4=EDATE('APA Inputs'!$C$31,'APA Inputs'!$H$31-1),N('APA Inputs'!$G$31),0),0))*IF('APA Inputs'!$I$31="",1,'APA Inputs'!$I$31))</f>
        <v>0</v>
      </c>
      <c r="AW16" s="409" t="n">
        <f aca="false">IF('APA Inputs'!$C$31="",0,(IF(AND(AW$4&gt;='APA Inputs'!$C$31,AW$4&lt;EDATE('APA Inputs'!$C$31,N('APA Inputs'!$D$31))),'APA Inputs'!$J$31,0)+IF(N('APA Inputs'!$H$31)&gt;0,IF(AW$4=EDATE('APA Inputs'!$C$31,'APA Inputs'!$H$31-1),N('APA Inputs'!$G$31),0),0))*IF('APA Inputs'!$I$31="",1,'APA Inputs'!$I$31))</f>
        <v>0</v>
      </c>
      <c r="AX16" s="409" t="n">
        <f aca="false">IF('APA Inputs'!$C$31="",0,(IF(AND(AX$4&gt;='APA Inputs'!$C$31,AX$4&lt;EDATE('APA Inputs'!$C$31,N('APA Inputs'!$D$31))),'APA Inputs'!$J$31,0)+IF(N('APA Inputs'!$H$31)&gt;0,IF(AX$4=EDATE('APA Inputs'!$C$31,'APA Inputs'!$H$31-1),N('APA Inputs'!$G$31),0),0))*IF('APA Inputs'!$I$31="",1,'APA Inputs'!$I$31))</f>
        <v>0</v>
      </c>
      <c r="AY16" s="409" t="n">
        <f aca="false">IF('APA Inputs'!$C$31="",0,(IF(AND(AY$4&gt;='APA Inputs'!$C$31,AY$4&lt;EDATE('APA Inputs'!$C$31,N('APA Inputs'!$D$31))),'APA Inputs'!$J$31,0)+IF(N('APA Inputs'!$H$31)&gt;0,IF(AY$4=EDATE('APA Inputs'!$C$31,'APA Inputs'!$H$31-1),N('APA Inputs'!$G$31),0),0))*IF('APA Inputs'!$I$31="",1,'APA Inputs'!$I$31))</f>
        <v>0</v>
      </c>
      <c r="AZ16" s="409" t="n">
        <f aca="false">IF('APA Inputs'!$C$31="",0,(IF(AND(AZ$4&gt;='APA Inputs'!$C$31,AZ$4&lt;EDATE('APA Inputs'!$C$31,N('APA Inputs'!$D$31))),'APA Inputs'!$J$31,0)+IF(N('APA Inputs'!$H$31)&gt;0,IF(AZ$4=EDATE('APA Inputs'!$C$31,'APA Inputs'!$H$31-1),N('APA Inputs'!$G$31),0),0))*IF('APA Inputs'!$I$31="",1,'APA Inputs'!$I$31))</f>
        <v>0</v>
      </c>
      <c r="BA16" s="409" t="n">
        <f aca="false">IF('APA Inputs'!$C$31="",0,(IF(AND(BA$4&gt;='APA Inputs'!$C$31,BA$4&lt;EDATE('APA Inputs'!$C$31,N('APA Inputs'!$D$31))),'APA Inputs'!$J$31,0)+IF(N('APA Inputs'!$H$31)&gt;0,IF(BA$4=EDATE('APA Inputs'!$C$31,'APA Inputs'!$H$31-1),N('APA Inputs'!$G$31),0),0))*IF('APA Inputs'!$I$31="",1,'APA Inputs'!$I$31))</f>
        <v>0</v>
      </c>
      <c r="BB16" s="409" t="n">
        <f aca="false">IF('APA Inputs'!$C$31="",0,(IF(AND(BB$4&gt;='APA Inputs'!$C$31,BB$4&lt;EDATE('APA Inputs'!$C$31,N('APA Inputs'!$D$31))),'APA Inputs'!$J$31,0)+IF(N('APA Inputs'!$H$31)&gt;0,IF(BB$4=EDATE('APA Inputs'!$C$31,'APA Inputs'!$H$31-1),N('APA Inputs'!$G$31),0),0))*IF('APA Inputs'!$I$31="",1,'APA Inputs'!$I$31))</f>
        <v>0</v>
      </c>
      <c r="BC16" s="409" t="n">
        <f aca="false">IF('APA Inputs'!$C$31="",0,(IF(AND(BC$4&gt;='APA Inputs'!$C$31,BC$4&lt;EDATE('APA Inputs'!$C$31,N('APA Inputs'!$D$31))),'APA Inputs'!$J$31,0)+IF(N('APA Inputs'!$H$31)&gt;0,IF(BC$4=EDATE('APA Inputs'!$C$31,'APA Inputs'!$H$31-1),N('APA Inputs'!$G$31),0),0))*IF('APA Inputs'!$I$31="",1,'APA Inputs'!$I$31))</f>
        <v>0</v>
      </c>
      <c r="BD16" s="409" t="n">
        <f aca="false">IF('APA Inputs'!$C$31="",0,(IF(AND(BD$4&gt;='APA Inputs'!$C$31,BD$4&lt;EDATE('APA Inputs'!$C$31,N('APA Inputs'!$D$31))),'APA Inputs'!$J$31,0)+IF(N('APA Inputs'!$H$31)&gt;0,IF(BD$4=EDATE('APA Inputs'!$C$31,'APA Inputs'!$H$31-1),N('APA Inputs'!$G$31),0),0))*IF('APA Inputs'!$I$31="",1,'APA Inputs'!$I$31))</f>
        <v>0</v>
      </c>
      <c r="BE16" s="409" t="n">
        <f aca="false">IF('APA Inputs'!$C$31="",0,(IF(AND(BE$4&gt;='APA Inputs'!$C$31,BE$4&lt;EDATE('APA Inputs'!$C$31,N('APA Inputs'!$D$31))),'APA Inputs'!$J$31,0)+IF(N('APA Inputs'!$H$31)&gt;0,IF(BE$4=EDATE('APA Inputs'!$C$31,'APA Inputs'!$H$31-1),N('APA Inputs'!$G$31),0),0))*IF('APA Inputs'!$I$31="",1,'APA Inputs'!$I$31))</f>
        <v>0</v>
      </c>
      <c r="BF16" s="409" t="n">
        <f aca="false">IF('APA Inputs'!$C$31="",0,(IF(AND(BF$4&gt;='APA Inputs'!$C$31,BF$4&lt;EDATE('APA Inputs'!$C$31,N('APA Inputs'!$D$31))),'APA Inputs'!$J$31,0)+IF(N('APA Inputs'!$H$31)&gt;0,IF(BF$4=EDATE('APA Inputs'!$C$31,'APA Inputs'!$H$31-1),N('APA Inputs'!$G$31),0),0))*IF('APA Inputs'!$I$31="",1,'APA Inputs'!$I$31))</f>
        <v>0</v>
      </c>
      <c r="BG16" s="409" t="n">
        <f aca="false">IF('APA Inputs'!$C$31="",0,(IF(AND(BG$4&gt;='APA Inputs'!$C$31,BG$4&lt;EDATE('APA Inputs'!$C$31,N('APA Inputs'!$D$31))),'APA Inputs'!$J$31,0)+IF(N('APA Inputs'!$H$31)&gt;0,IF(BG$4=EDATE('APA Inputs'!$C$31,'APA Inputs'!$H$31-1),N('APA Inputs'!$G$31),0),0))*IF('APA Inputs'!$I$31="",1,'APA Inputs'!$I$31))</f>
        <v>0</v>
      </c>
      <c r="BH16" s="409" t="n">
        <f aca="false">IF('APA Inputs'!$C$31="",0,(IF(AND(BH$4&gt;='APA Inputs'!$C$31,BH$4&lt;EDATE('APA Inputs'!$C$31,N('APA Inputs'!$D$31))),'APA Inputs'!$J$31,0)+IF(N('APA Inputs'!$H$31)&gt;0,IF(BH$4=EDATE('APA Inputs'!$C$31,'APA Inputs'!$H$31-1),N('APA Inputs'!$G$31),0),0))*IF('APA Inputs'!$I$31="",1,'APA Inputs'!$I$31))</f>
        <v>0</v>
      </c>
      <c r="BI16" s="409" t="n">
        <f aca="false">IF('APA Inputs'!$C$31="",0,(IF(AND(BI$4&gt;='APA Inputs'!$C$31,BI$4&lt;EDATE('APA Inputs'!$C$31,N('APA Inputs'!$D$31))),'APA Inputs'!$J$31,0)+IF(N('APA Inputs'!$H$31)&gt;0,IF(BI$4=EDATE('APA Inputs'!$C$31,'APA Inputs'!$H$31-1),N('APA Inputs'!$G$31),0),0))*IF('APA Inputs'!$I$31="",1,'APA Inputs'!$I$31))</f>
        <v>0</v>
      </c>
      <c r="BJ16" s="409" t="n">
        <f aca="false">IF('APA Inputs'!$C$31="",0,(IF(AND(BJ$4&gt;='APA Inputs'!$C$31,BJ$4&lt;EDATE('APA Inputs'!$C$31,N('APA Inputs'!$D$31))),'APA Inputs'!$J$31,0)+IF(N('APA Inputs'!$H$31)&gt;0,IF(BJ$4=EDATE('APA Inputs'!$C$31,'APA Inputs'!$H$31-1),N('APA Inputs'!$G$31),0),0))*IF('APA Inputs'!$I$31="",1,'APA Inputs'!$I$31))</f>
        <v>0</v>
      </c>
      <c r="BK16" s="409" t="n">
        <f aca="false">IF('APA Inputs'!$C$31="",0,(IF(AND(BK$4&gt;='APA Inputs'!$C$31,BK$4&lt;EDATE('APA Inputs'!$C$31,N('APA Inputs'!$D$31))),'APA Inputs'!$J$31,0)+IF(N('APA Inputs'!$H$31)&gt;0,IF(BK$4=EDATE('APA Inputs'!$C$31,'APA Inputs'!$H$31-1),N('APA Inputs'!$G$31),0),0))*IF('APA Inputs'!$I$31="",1,'APA Inputs'!$I$31))</f>
        <v>0</v>
      </c>
      <c r="BL16" s="409" t="n">
        <f aca="false">IF('APA Inputs'!$C$31="",0,(IF(AND(BL$4&gt;='APA Inputs'!$C$31,BL$4&lt;EDATE('APA Inputs'!$C$31,N('APA Inputs'!$D$31))),'APA Inputs'!$J$31,0)+IF(N('APA Inputs'!$H$31)&gt;0,IF(BL$4=EDATE('APA Inputs'!$C$31,'APA Inputs'!$H$31-1),N('APA Inputs'!$G$31),0),0))*IF('APA Inputs'!$I$31="",1,'APA Inputs'!$I$31))</f>
        <v>0</v>
      </c>
      <c r="BM16" s="409" t="n">
        <f aca="false">IF('APA Inputs'!$C$31="",0,(IF(AND(BM$4&gt;='APA Inputs'!$C$31,BM$4&lt;EDATE('APA Inputs'!$C$31,N('APA Inputs'!$D$31))),'APA Inputs'!$J$31,0)+IF(N('APA Inputs'!$H$31)&gt;0,IF(BM$4=EDATE('APA Inputs'!$C$31,'APA Inputs'!$H$31-1),N('APA Inputs'!$G$31),0),0))*IF('APA Inputs'!$I$31="",1,'APA Inputs'!$I$31))</f>
        <v>0</v>
      </c>
      <c r="BN16" s="409" t="n">
        <f aca="false">IF('APA Inputs'!$C$31="",0,(IF(AND(BN$4&gt;='APA Inputs'!$C$31,BN$4&lt;EDATE('APA Inputs'!$C$31,N('APA Inputs'!$D$31))),'APA Inputs'!$J$31,0)+IF(N('APA Inputs'!$H$31)&gt;0,IF(BN$4=EDATE('APA Inputs'!$C$31,'APA Inputs'!$H$31-1),N('APA Inputs'!$G$31),0),0))*IF('APA Inputs'!$I$31="",1,'APA Inputs'!$I$31))</f>
        <v>0</v>
      </c>
      <c r="BO16" s="409" t="n">
        <f aca="false">IF('APA Inputs'!$C$31="",0,(IF(AND(BO$4&gt;='APA Inputs'!$C$31,BO$4&lt;EDATE('APA Inputs'!$C$31,N('APA Inputs'!$D$31))),'APA Inputs'!$J$31,0)+IF(N('APA Inputs'!$H$31)&gt;0,IF(BO$4=EDATE('APA Inputs'!$C$31,'APA Inputs'!$H$31-1),N('APA Inputs'!$G$31),0),0))*IF('APA Inputs'!$I$31="",1,'APA Inputs'!$I$31))</f>
        <v>0</v>
      </c>
      <c r="BP16" s="409" t="n">
        <f aca="false">IF('APA Inputs'!$C$31="",0,(IF(AND(BP$4&gt;='APA Inputs'!$C$31,BP$4&lt;EDATE('APA Inputs'!$C$31,N('APA Inputs'!$D$31))),'APA Inputs'!$J$31,0)+IF(N('APA Inputs'!$H$31)&gt;0,IF(BP$4=EDATE('APA Inputs'!$C$31,'APA Inputs'!$H$31-1),N('APA Inputs'!$G$31),0),0))*IF('APA Inputs'!$I$31="",1,'APA Inputs'!$I$31))</f>
        <v>0</v>
      </c>
      <c r="BQ16" s="409" t="n">
        <f aca="false">IF('APA Inputs'!$C$31="",0,(IF(AND(BQ$4&gt;='APA Inputs'!$C$31,BQ$4&lt;EDATE('APA Inputs'!$C$31,N('APA Inputs'!$D$31))),'APA Inputs'!$J$31,0)+IF(N('APA Inputs'!$H$31)&gt;0,IF(BQ$4=EDATE('APA Inputs'!$C$31,'APA Inputs'!$H$31-1),N('APA Inputs'!$G$31),0),0))*IF('APA Inputs'!$I$31="",1,'APA Inputs'!$I$31))</f>
        <v>0</v>
      </c>
      <c r="BR16" s="409" t="n">
        <f aca="false">IF('APA Inputs'!$C$31="",0,(IF(AND(BR$4&gt;='APA Inputs'!$C$31,BR$4&lt;EDATE('APA Inputs'!$C$31,N('APA Inputs'!$D$31))),'APA Inputs'!$J$31,0)+IF(N('APA Inputs'!$H$31)&gt;0,IF(BR$4=EDATE('APA Inputs'!$C$31,'APA Inputs'!$H$31-1),N('APA Inputs'!$G$31),0),0))*IF('APA Inputs'!$I$31="",1,'APA Inputs'!$I$31))</f>
        <v>0</v>
      </c>
      <c r="BS16" s="409" t="n">
        <f aca="false">IF('APA Inputs'!$C$31="",0,(IF(AND(BS$4&gt;='APA Inputs'!$C$31,BS$4&lt;EDATE('APA Inputs'!$C$31,N('APA Inputs'!$D$31))),'APA Inputs'!$J$31,0)+IF(N('APA Inputs'!$H$31)&gt;0,IF(BS$4=EDATE('APA Inputs'!$C$31,'APA Inputs'!$H$31-1),N('APA Inputs'!$G$31),0),0))*IF('APA Inputs'!$I$31="",1,'APA Inputs'!$I$31))</f>
        <v>0</v>
      </c>
      <c r="BT16" s="409" t="n">
        <f aca="false">IF('APA Inputs'!$C$31="",0,(IF(AND(BT$4&gt;='APA Inputs'!$C$31,BT$4&lt;EDATE('APA Inputs'!$C$31,N('APA Inputs'!$D$31))),'APA Inputs'!$J$31,0)+IF(N('APA Inputs'!$H$31)&gt;0,IF(BT$4=EDATE('APA Inputs'!$C$31,'APA Inputs'!$H$31-1),N('APA Inputs'!$G$31),0),0))*IF('APA Inputs'!$I$31="",1,'APA Inputs'!$I$31))</f>
        <v>0</v>
      </c>
      <c r="BU16" s="409" t="n">
        <f aca="false">IF('APA Inputs'!$C$31="",0,(IF(AND(BU$4&gt;='APA Inputs'!$C$31,BU$4&lt;EDATE('APA Inputs'!$C$31,N('APA Inputs'!$D$31))),'APA Inputs'!$J$31,0)+IF(N('APA Inputs'!$H$31)&gt;0,IF(BU$4=EDATE('APA Inputs'!$C$31,'APA Inputs'!$H$31-1),N('APA Inputs'!$G$31),0),0))*IF('APA Inputs'!$I$31="",1,'APA Inputs'!$I$31))</f>
        <v>0</v>
      </c>
      <c r="BV16" s="409" t="n">
        <f aca="false">IF('APA Inputs'!$C$31="",0,(IF(AND(BV$4&gt;='APA Inputs'!$C$31,BV$4&lt;EDATE('APA Inputs'!$C$31,N('APA Inputs'!$D$31))),'APA Inputs'!$J$31,0)+IF(N('APA Inputs'!$H$31)&gt;0,IF(BV$4=EDATE('APA Inputs'!$C$31,'APA Inputs'!$H$31-1),N('APA Inputs'!$G$31),0),0))*IF('APA Inputs'!$I$31="",1,'APA Inputs'!$I$31))</f>
        <v>0</v>
      </c>
      <c r="BW16" s="409" t="n">
        <f aca="false">IF('APA Inputs'!$C$31="",0,(IF(AND(BW$4&gt;='APA Inputs'!$C$31,BW$4&lt;EDATE('APA Inputs'!$C$31,N('APA Inputs'!$D$31))),'APA Inputs'!$J$31,0)+IF(N('APA Inputs'!$H$31)&gt;0,IF(BW$4=EDATE('APA Inputs'!$C$31,'APA Inputs'!$H$31-1),N('APA Inputs'!$G$31),0),0))*IF('APA Inputs'!$I$31="",1,'APA Inputs'!$I$31))</f>
        <v>0</v>
      </c>
      <c r="BX16" s="409" t="n">
        <f aca="false">IF('APA Inputs'!$C$31="",0,(IF(AND(BX$4&gt;='APA Inputs'!$C$31,BX$4&lt;EDATE('APA Inputs'!$C$31,N('APA Inputs'!$D$31))),'APA Inputs'!$J$31,0)+IF(N('APA Inputs'!$H$31)&gt;0,IF(BX$4=EDATE('APA Inputs'!$C$31,'APA Inputs'!$H$31-1),N('APA Inputs'!$G$31),0),0))*IF('APA Inputs'!$I$31="",1,'APA Inputs'!$I$31))</f>
        <v>0</v>
      </c>
      <c r="BY16" s="409" t="n">
        <f aca="false">IF('APA Inputs'!$C$31="",0,(IF(AND(BY$4&gt;='APA Inputs'!$C$31,BY$4&lt;EDATE('APA Inputs'!$C$31,N('APA Inputs'!$D$31))),'APA Inputs'!$J$31,0)+IF(N('APA Inputs'!$H$31)&gt;0,IF(BY$4=EDATE('APA Inputs'!$C$31,'APA Inputs'!$H$31-1),N('APA Inputs'!$G$31),0),0))*IF('APA Inputs'!$I$31="",1,'APA Inputs'!$I$31))</f>
        <v>0</v>
      </c>
      <c r="BZ16" s="409" t="n">
        <f aca="false">IF('APA Inputs'!$C$31="",0,(IF(AND(BZ$4&gt;='APA Inputs'!$C$31,BZ$4&lt;EDATE('APA Inputs'!$C$31,N('APA Inputs'!$D$31))),'APA Inputs'!$J$31,0)+IF(N('APA Inputs'!$H$31)&gt;0,IF(BZ$4=EDATE('APA Inputs'!$C$31,'APA Inputs'!$H$31-1),N('APA Inputs'!$G$31),0),0))*IF('APA Inputs'!$I$31="",1,'APA Inputs'!$I$31))</f>
        <v>0</v>
      </c>
      <c r="CA16" s="409" t="n">
        <f aca="false">IF('APA Inputs'!$C$31="",0,(IF(AND(CA$4&gt;='APA Inputs'!$C$31,CA$4&lt;EDATE('APA Inputs'!$C$31,N('APA Inputs'!$D$31))),'APA Inputs'!$J$31,0)+IF(N('APA Inputs'!$H$31)&gt;0,IF(CA$4=EDATE('APA Inputs'!$C$31,'APA Inputs'!$H$31-1),N('APA Inputs'!$G$31),0),0))*IF('APA Inputs'!$I$31="",1,'APA Inputs'!$I$31))</f>
        <v>0</v>
      </c>
      <c r="CB16" s="409" t="n">
        <f aca="false">IF('APA Inputs'!$C$31="",0,(IF(AND(CB$4&gt;='APA Inputs'!$C$31,CB$4&lt;EDATE('APA Inputs'!$C$31,N('APA Inputs'!$D$31))),'APA Inputs'!$J$31,0)+IF(N('APA Inputs'!$H$31)&gt;0,IF(CB$4=EDATE('APA Inputs'!$C$31,'APA Inputs'!$H$31-1),N('APA Inputs'!$G$31),0),0))*IF('APA Inputs'!$I$31="",1,'APA Inputs'!$I$31))</f>
        <v>0</v>
      </c>
      <c r="CC16" s="409" t="n">
        <f aca="false">IF('APA Inputs'!$C$31="",0,(IF(AND(CC$4&gt;='APA Inputs'!$C$31,CC$4&lt;EDATE('APA Inputs'!$C$31,N('APA Inputs'!$D$31))),'APA Inputs'!$J$31,0)+IF(N('APA Inputs'!$H$31)&gt;0,IF(CC$4=EDATE('APA Inputs'!$C$31,'APA Inputs'!$H$31-1),N('APA Inputs'!$G$31),0),0))*IF('APA Inputs'!$I$31="",1,'APA Inputs'!$I$31))</f>
        <v>0</v>
      </c>
      <c r="CD16" s="409" t="n">
        <f aca="false">IF('APA Inputs'!$C$31="",0,(IF(AND(CD$4&gt;='APA Inputs'!$C$31,CD$4&lt;EDATE('APA Inputs'!$C$31,N('APA Inputs'!$D$31))),'APA Inputs'!$J$31,0)+IF(N('APA Inputs'!$H$31)&gt;0,IF(CD$4=EDATE('APA Inputs'!$C$31,'APA Inputs'!$H$31-1),N('APA Inputs'!$G$31),0),0))*IF('APA Inputs'!$I$31="",1,'APA Inputs'!$I$31))</f>
        <v>0</v>
      </c>
      <c r="CE16" s="409" t="n">
        <f aca="false">IF('APA Inputs'!$C$31="",0,(IF(AND(CE$4&gt;='APA Inputs'!$C$31,CE$4&lt;EDATE('APA Inputs'!$C$31,N('APA Inputs'!$D$31))),'APA Inputs'!$J$31,0)+IF(N('APA Inputs'!$H$31)&gt;0,IF(CE$4=EDATE('APA Inputs'!$C$31,'APA Inputs'!$H$31-1),N('APA Inputs'!$G$31),0),0))*IF('APA Inputs'!$I$31="",1,'APA Inputs'!$I$31))</f>
        <v>0</v>
      </c>
      <c r="CF16" s="409" t="n">
        <f aca="false">IF('APA Inputs'!$C$31="",0,(IF(AND(CF$4&gt;='APA Inputs'!$C$31,CF$4&lt;EDATE('APA Inputs'!$C$31,N('APA Inputs'!$D$31))),'APA Inputs'!$J$31,0)+IF(N('APA Inputs'!$H$31)&gt;0,IF(CF$4=EDATE('APA Inputs'!$C$31,'APA Inputs'!$H$31-1),N('APA Inputs'!$G$31),0),0))*IF('APA Inputs'!$I$31="",1,'APA Inputs'!$I$31))</f>
        <v>0</v>
      </c>
      <c r="CG16" s="409" t="n">
        <f aca="false">IF('APA Inputs'!$C$31="",0,(IF(AND(CG$4&gt;='APA Inputs'!$C$31,CG$4&lt;EDATE('APA Inputs'!$C$31,N('APA Inputs'!$D$31))),'APA Inputs'!$J$31,0)+IF(N('APA Inputs'!$H$31)&gt;0,IF(CG$4=EDATE('APA Inputs'!$C$31,'APA Inputs'!$H$31-1),N('APA Inputs'!$G$31),0),0))*IF('APA Inputs'!$I$31="",1,'APA Inputs'!$I$31))</f>
        <v>0</v>
      </c>
      <c r="CH16" s="409" t="n">
        <f aca="false">IF('APA Inputs'!$C$31="",0,(IF(AND(CH$4&gt;='APA Inputs'!$C$31,CH$4&lt;EDATE('APA Inputs'!$C$31,N('APA Inputs'!$D$31))),'APA Inputs'!$J$31,0)+IF(N('APA Inputs'!$H$31)&gt;0,IF(CH$4=EDATE('APA Inputs'!$C$31,'APA Inputs'!$H$31-1),N('APA Inputs'!$G$31),0),0))*IF('APA Inputs'!$I$31="",1,'APA Inputs'!$I$31))</f>
        <v>0</v>
      </c>
      <c r="CI16" s="409" t="n">
        <f aca="false">IF('APA Inputs'!$C$31="",0,(IF(AND(CI$4&gt;='APA Inputs'!$C$31,CI$4&lt;EDATE('APA Inputs'!$C$31,N('APA Inputs'!$D$31))),'APA Inputs'!$J$31,0)+IF(N('APA Inputs'!$H$31)&gt;0,IF(CI$4=EDATE('APA Inputs'!$C$31,'APA Inputs'!$H$31-1),N('APA Inputs'!$G$31),0),0))*IF('APA Inputs'!$I$31="",1,'APA Inputs'!$I$31))</f>
        <v>0</v>
      </c>
      <c r="CJ16" s="409" t="n">
        <f aca="false">IF('APA Inputs'!$C$31="",0,(IF(AND(CJ$4&gt;='APA Inputs'!$C$31,CJ$4&lt;EDATE('APA Inputs'!$C$31,N('APA Inputs'!$D$31))),'APA Inputs'!$J$31,0)+IF(N('APA Inputs'!$H$31)&gt;0,IF(CJ$4=EDATE('APA Inputs'!$C$31,'APA Inputs'!$H$31-1),N('APA Inputs'!$G$31),0),0))*IF('APA Inputs'!$I$31="",1,'APA Inputs'!$I$31))</f>
        <v>0</v>
      </c>
      <c r="CK16" s="409" t="n">
        <f aca="false">IF('APA Inputs'!$C$31="",0,(IF(AND(CK$4&gt;='APA Inputs'!$C$31,CK$4&lt;EDATE('APA Inputs'!$C$31,N('APA Inputs'!$D$31))),'APA Inputs'!$J$31,0)+IF(N('APA Inputs'!$H$31)&gt;0,IF(CK$4=EDATE('APA Inputs'!$C$31,'APA Inputs'!$H$31-1),N('APA Inputs'!$G$31),0),0))*IF('APA Inputs'!$I$31="",1,'APA Inputs'!$I$31))</f>
        <v>0</v>
      </c>
      <c r="CL16" s="409" t="n">
        <f aca="false">IF('APA Inputs'!$C$31="",0,(IF(AND(CL$4&gt;='APA Inputs'!$C$31,CL$4&lt;EDATE('APA Inputs'!$C$31,N('APA Inputs'!$D$31))),'APA Inputs'!$J$31,0)+IF(N('APA Inputs'!$H$31)&gt;0,IF(CL$4=EDATE('APA Inputs'!$C$31,'APA Inputs'!$H$31-1),N('APA Inputs'!$G$31),0),0))*IF('APA Inputs'!$I$31="",1,'APA Inputs'!$I$31))</f>
        <v>0</v>
      </c>
      <c r="CM16" s="409" t="n">
        <f aca="false">IF('APA Inputs'!$C$31="",0,(IF(AND(CM$4&gt;='APA Inputs'!$C$31,CM$4&lt;EDATE('APA Inputs'!$C$31,N('APA Inputs'!$D$31))),'APA Inputs'!$J$31,0)+IF(N('APA Inputs'!$H$31)&gt;0,IF(CM$4=EDATE('APA Inputs'!$C$31,'APA Inputs'!$H$31-1),N('APA Inputs'!$G$31),0),0))*IF('APA Inputs'!$I$31="",1,'APA Inputs'!$I$31))</f>
        <v>0</v>
      </c>
      <c r="CN16" s="409" t="n">
        <f aca="false">IF('APA Inputs'!$C$31="",0,(IF(AND(CN$4&gt;='APA Inputs'!$C$31,CN$4&lt;EDATE('APA Inputs'!$C$31,N('APA Inputs'!$D$31))),'APA Inputs'!$J$31,0)+IF(N('APA Inputs'!$H$31)&gt;0,IF(CN$4=EDATE('APA Inputs'!$C$31,'APA Inputs'!$H$31-1),N('APA Inputs'!$G$31),0),0))*IF('APA Inputs'!$I$31="",1,'APA Inputs'!$I$31))</f>
        <v>0</v>
      </c>
      <c r="CO16" s="409" t="n">
        <f aca="false">IF('APA Inputs'!$C$31="",0,(IF(AND(CO$4&gt;='APA Inputs'!$C$31,CO$4&lt;EDATE('APA Inputs'!$C$31,N('APA Inputs'!$D$31))),'APA Inputs'!$J$31,0)+IF(N('APA Inputs'!$H$31)&gt;0,IF(CO$4=EDATE('APA Inputs'!$C$31,'APA Inputs'!$H$31-1),N('APA Inputs'!$G$31),0),0))*IF('APA Inputs'!$I$31="",1,'APA Inputs'!$I$31))</f>
        <v>0</v>
      </c>
      <c r="CP16" s="409" t="n">
        <f aca="false">IF('APA Inputs'!$C$31="",0,(IF(AND(CP$4&gt;='APA Inputs'!$C$31,CP$4&lt;EDATE('APA Inputs'!$C$31,N('APA Inputs'!$D$31))),'APA Inputs'!$J$31,0)+IF(N('APA Inputs'!$H$31)&gt;0,IF(CP$4=EDATE('APA Inputs'!$C$31,'APA Inputs'!$H$31-1),N('APA Inputs'!$G$31),0),0))*IF('APA Inputs'!$I$31="",1,'APA Inputs'!$I$31))</f>
        <v>0</v>
      </c>
      <c r="CQ16" s="409" t="n">
        <f aca="false">IF('APA Inputs'!$C$31="",0,(IF(AND(CQ$4&gt;='APA Inputs'!$C$31,CQ$4&lt;EDATE('APA Inputs'!$C$31,N('APA Inputs'!$D$31))),'APA Inputs'!$J$31,0)+IF(N('APA Inputs'!$H$31)&gt;0,IF(CQ$4=EDATE('APA Inputs'!$C$31,'APA Inputs'!$H$31-1),N('APA Inputs'!$G$31),0),0))*IF('APA Inputs'!$I$31="",1,'APA Inputs'!$I$31))</f>
        <v>0</v>
      </c>
      <c r="CR16" s="409" t="n">
        <f aca="false">IF('APA Inputs'!$C$31="",0,(IF(AND(CR$4&gt;='APA Inputs'!$C$31,CR$4&lt;EDATE('APA Inputs'!$C$31,N('APA Inputs'!$D$31))),'APA Inputs'!$J$31,0)+IF(N('APA Inputs'!$H$31)&gt;0,IF(CR$4=EDATE('APA Inputs'!$C$31,'APA Inputs'!$H$31-1),N('APA Inputs'!$G$31),0),0))*IF('APA Inputs'!$I$31="",1,'APA Inputs'!$I$31))</f>
        <v>0</v>
      </c>
      <c r="CS16" s="409" t="n">
        <f aca="false">IF('APA Inputs'!$C$31="",0,(IF(AND(CS$4&gt;='APA Inputs'!$C$31,CS$4&lt;EDATE('APA Inputs'!$C$31,N('APA Inputs'!$D$31))),'APA Inputs'!$J$31,0)+IF(N('APA Inputs'!$H$31)&gt;0,IF(CS$4=EDATE('APA Inputs'!$C$31,'APA Inputs'!$H$31-1),N('APA Inputs'!$G$31),0),0))*IF('APA Inputs'!$I$31="",1,'APA Inputs'!$I$31))</f>
        <v>0</v>
      </c>
      <c r="CT16" s="409" t="n">
        <f aca="false">IF('APA Inputs'!$C$31="",0,(IF(AND(CT$4&gt;='APA Inputs'!$C$31,CT$4&lt;EDATE('APA Inputs'!$C$31,N('APA Inputs'!$D$31))),'APA Inputs'!$J$31,0)+IF(N('APA Inputs'!$H$31)&gt;0,IF(CT$4=EDATE('APA Inputs'!$C$31,'APA Inputs'!$H$31-1),N('APA Inputs'!$G$31),0),0))*IF('APA Inputs'!$I$31="",1,'APA Inputs'!$I$31))</f>
        <v>0</v>
      </c>
      <c r="CU16" s="409" t="n">
        <f aca="false">IF('APA Inputs'!$C$31="",0,(IF(AND(CU$4&gt;='APA Inputs'!$C$31,CU$4&lt;EDATE('APA Inputs'!$C$31,N('APA Inputs'!$D$31))),'APA Inputs'!$J$31,0)+IF(N('APA Inputs'!$H$31)&gt;0,IF(CU$4=EDATE('APA Inputs'!$C$31,'APA Inputs'!$H$31-1),N('APA Inputs'!$G$31),0),0))*IF('APA Inputs'!$I$31="",1,'APA Inputs'!$I$31))</f>
        <v>0</v>
      </c>
      <c r="CV16" s="409" t="n">
        <f aca="false">IF('APA Inputs'!$C$31="",0,(IF(AND(CV$4&gt;='APA Inputs'!$C$31,CV$4&lt;EDATE('APA Inputs'!$C$31,N('APA Inputs'!$D$31))),'APA Inputs'!$J$31,0)+IF(N('APA Inputs'!$H$31)&gt;0,IF(CV$4=EDATE('APA Inputs'!$C$31,'APA Inputs'!$H$31-1),N('APA Inputs'!$G$31),0),0))*IF('APA Inputs'!$I$31="",1,'APA Inputs'!$I$31))</f>
        <v>0</v>
      </c>
      <c r="CW16" s="409" t="n">
        <f aca="false">IF('APA Inputs'!$C$31="",0,(IF(AND(CW$4&gt;='APA Inputs'!$C$31,CW$4&lt;EDATE('APA Inputs'!$C$31,N('APA Inputs'!$D$31))),'APA Inputs'!$J$31,0)+IF(N('APA Inputs'!$H$31)&gt;0,IF(CW$4=EDATE('APA Inputs'!$C$31,'APA Inputs'!$H$31-1),N('APA Inputs'!$G$31),0),0))*IF('APA Inputs'!$I$31="",1,'APA Inputs'!$I$31))</f>
        <v>0</v>
      </c>
      <c r="CX16" s="409" t="n">
        <f aca="false">IF('APA Inputs'!$C$31="",0,(IF(AND(CX$4&gt;='APA Inputs'!$C$31,CX$4&lt;EDATE('APA Inputs'!$C$31,N('APA Inputs'!$D$31))),'APA Inputs'!$J$31,0)+IF(N('APA Inputs'!$H$31)&gt;0,IF(CX$4=EDATE('APA Inputs'!$C$31,'APA Inputs'!$H$31-1),N('APA Inputs'!$G$31),0),0))*IF('APA Inputs'!$I$31="",1,'APA Inputs'!$I$31))</f>
        <v>0</v>
      </c>
      <c r="CY16" s="409" t="n">
        <f aca="false">IF('APA Inputs'!$C$31="",0,(IF(AND(CY$4&gt;='APA Inputs'!$C$31,CY$4&lt;EDATE('APA Inputs'!$C$31,N('APA Inputs'!$D$31))),'APA Inputs'!$J$31,0)+IF(N('APA Inputs'!$H$31)&gt;0,IF(CY$4=EDATE('APA Inputs'!$C$31,'APA Inputs'!$H$31-1),N('APA Inputs'!$G$31),0),0))*IF('APA Inputs'!$I$31="",1,'APA Inputs'!$I$31))</f>
        <v>0</v>
      </c>
      <c r="CZ16" s="409" t="n">
        <f aca="false">IF('APA Inputs'!$C$31="",0,(IF(AND(CZ$4&gt;='APA Inputs'!$C$31,CZ$4&lt;EDATE('APA Inputs'!$C$31,N('APA Inputs'!$D$31))),'APA Inputs'!$J$31,0)+IF(N('APA Inputs'!$H$31)&gt;0,IF(CZ$4=EDATE('APA Inputs'!$C$31,'APA Inputs'!$H$31-1),N('APA Inputs'!$G$31),0),0))*IF('APA Inputs'!$I$31="",1,'APA Inputs'!$I$31))</f>
        <v>0</v>
      </c>
      <c r="DA16" s="409" t="n">
        <f aca="false">IF('APA Inputs'!$C$31="",0,(IF(AND(DA$4&gt;='APA Inputs'!$C$31,DA$4&lt;EDATE('APA Inputs'!$C$31,N('APA Inputs'!$D$31))),'APA Inputs'!$J$31,0)+IF(N('APA Inputs'!$H$31)&gt;0,IF(DA$4=EDATE('APA Inputs'!$C$31,'APA Inputs'!$H$31-1),N('APA Inputs'!$G$31),0),0))*IF('APA Inputs'!$I$31="",1,'APA Inputs'!$I$31))</f>
        <v>0</v>
      </c>
      <c r="DB16" s="409" t="n">
        <f aca="false">IF('APA Inputs'!$C$31="",0,(IF(AND(DB$4&gt;='APA Inputs'!$C$31,DB$4&lt;EDATE('APA Inputs'!$C$31,N('APA Inputs'!$D$31))),'APA Inputs'!$J$31,0)+IF(N('APA Inputs'!$H$31)&gt;0,IF(DB$4=EDATE('APA Inputs'!$C$31,'APA Inputs'!$H$31-1),N('APA Inputs'!$G$31),0),0))*IF('APA Inputs'!$I$31="",1,'APA Inputs'!$I$31))</f>
        <v>0</v>
      </c>
      <c r="DC16" s="409" t="n">
        <f aca="false">IF('APA Inputs'!$C$31="",0,(IF(AND(DC$4&gt;='APA Inputs'!$C$31,DC$4&lt;EDATE('APA Inputs'!$C$31,N('APA Inputs'!$D$31))),'APA Inputs'!$J$31,0)+IF(N('APA Inputs'!$H$31)&gt;0,IF(DC$4=EDATE('APA Inputs'!$C$31,'APA Inputs'!$H$31-1),N('APA Inputs'!$G$31),0),0))*IF('APA Inputs'!$I$31="",1,'APA Inputs'!$I$31))</f>
        <v>0</v>
      </c>
      <c r="DD16" s="409" t="n">
        <f aca="false">IF('APA Inputs'!$C$31="",0,(IF(AND(DD$4&gt;='APA Inputs'!$C$31,DD$4&lt;EDATE('APA Inputs'!$C$31,N('APA Inputs'!$D$31))),'APA Inputs'!$J$31,0)+IF(N('APA Inputs'!$H$31)&gt;0,IF(DD$4=EDATE('APA Inputs'!$C$31,'APA Inputs'!$H$31-1),N('APA Inputs'!$G$31),0),0))*IF('APA Inputs'!$I$31="",1,'APA Inputs'!$I$31))</f>
        <v>0</v>
      </c>
      <c r="DE16" s="40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1357</v>
      </c>
      <c r="B17" s="409" t="n">
        <f aca="false">SUM(B7:B16)</f>
        <v>0</v>
      </c>
      <c r="C17" s="409" t="n">
        <f aca="false">SUM(C7:C16)</f>
        <v>0</v>
      </c>
      <c r="D17" s="409" t="n">
        <f aca="false">SUM(D7:D16)</f>
        <v>0</v>
      </c>
      <c r="E17" s="409" t="n">
        <f aca="false">SUM(E7:E16)</f>
        <v>0</v>
      </c>
      <c r="F17" s="409" t="n">
        <f aca="false">SUM(F7:F16)</f>
        <v>0</v>
      </c>
      <c r="G17" s="409" t="n">
        <f aca="false">SUM(G7:G16)</f>
        <v>0</v>
      </c>
      <c r="H17" s="409" t="n">
        <f aca="false">SUM(H7:H16)</f>
        <v>10000</v>
      </c>
      <c r="I17" s="409" t="n">
        <f aca="false">SUM(I7:I16)</f>
        <v>14166.66</v>
      </c>
      <c r="J17" s="409" t="n">
        <f aca="false">SUM(J7:J16)</f>
        <v>17499.38</v>
      </c>
      <c r="K17" s="409" t="n">
        <f aca="false">SUM(K7:K16)</f>
        <v>17499.38</v>
      </c>
      <c r="L17" s="409" t="n">
        <f aca="false">SUM(L7:L16)</f>
        <v>17499.38</v>
      </c>
      <c r="M17" s="409" t="n">
        <f aca="false">SUM(M7:M16)</f>
        <v>27249.38</v>
      </c>
      <c r="N17" s="409" t="n">
        <f aca="false">SUM(N7:N16)</f>
        <v>33916.04</v>
      </c>
      <c r="O17" s="409" t="n">
        <f aca="false">SUM(O7:O16)</f>
        <v>17499.38</v>
      </c>
      <c r="P17" s="409" t="n">
        <f aca="false">SUM(P7:P16)</f>
        <v>17499.38</v>
      </c>
      <c r="Q17" s="409" t="n">
        <f aca="false">SUM(Q7:Q16)</f>
        <v>17499.38</v>
      </c>
      <c r="R17" s="409" t="n">
        <f aca="false">SUM(R7:R16)</f>
        <v>17499.38</v>
      </c>
      <c r="S17" s="409" t="n">
        <f aca="false">SUM(S7:S16)</f>
        <v>11665.38</v>
      </c>
      <c r="T17" s="409" t="n">
        <f aca="false">SUM(T7:T16)</f>
        <v>11665.38</v>
      </c>
      <c r="U17" s="409" t="n">
        <f aca="false">SUM(U7:U16)</f>
        <v>11665.38</v>
      </c>
      <c r="V17" s="409" t="n">
        <f aca="false">SUM(V7:V16)</f>
        <v>8332.66</v>
      </c>
      <c r="W17" s="409" t="n">
        <f aca="false">SUM(W7:W16)</f>
        <v>8332.66</v>
      </c>
      <c r="X17" s="409" t="n">
        <f aca="false">SUM(X7:X16)</f>
        <v>8332.66</v>
      </c>
      <c r="Y17" s="409" t="n">
        <f aca="false">SUM(Y7:Y16)</f>
        <v>8332.66</v>
      </c>
      <c r="Z17" s="409" t="n">
        <f aca="false">SUM(Z7:Z16)</f>
        <v>8332.66</v>
      </c>
      <c r="AA17" s="409" t="n">
        <f aca="false">SUM(AA7:AA16)</f>
        <v>8332.66</v>
      </c>
      <c r="AB17" s="409" t="n">
        <f aca="false">SUM(AB7:AB16)</f>
        <v>8332.66</v>
      </c>
      <c r="AC17" s="409" t="n">
        <f aca="false">SUM(AC7:AC16)</f>
        <v>8332.66</v>
      </c>
      <c r="AD17" s="409" t="n">
        <f aca="false">SUM(AD7:AD16)</f>
        <v>8332.66</v>
      </c>
      <c r="AE17" s="409" t="n">
        <f aca="false">SUM(AE7:AE16)</f>
        <v>8332.66</v>
      </c>
      <c r="AF17" s="409" t="n">
        <f aca="false">SUM(AF7:AF16)</f>
        <v>4166.66</v>
      </c>
      <c r="AG17" s="409" t="n">
        <f aca="false">SUM(AG7:AG16)</f>
        <v>0</v>
      </c>
      <c r="AH17" s="409" t="n">
        <f aca="false">SUM(AH7:AH16)</f>
        <v>0</v>
      </c>
      <c r="AI17" s="409" t="n">
        <f aca="false">SUM(AI7:AI16)</f>
        <v>0</v>
      </c>
      <c r="AJ17" s="409" t="n">
        <f aca="false">SUM(AJ7:AJ16)</f>
        <v>0</v>
      </c>
      <c r="AK17" s="409" t="n">
        <f aca="false">SUM(AK7:AK16)</f>
        <v>0</v>
      </c>
      <c r="AL17" s="409" t="n">
        <f aca="false">SUM(AL7:AL16)</f>
        <v>0</v>
      </c>
      <c r="AM17" s="409" t="n">
        <f aca="false">SUM(AM7:AM16)</f>
        <v>0</v>
      </c>
      <c r="AN17" s="409" t="n">
        <f aca="false">SUM(AN7:AN16)</f>
        <v>0</v>
      </c>
      <c r="AO17" s="409" t="n">
        <f aca="false">SUM(AO7:AO16)</f>
        <v>0</v>
      </c>
      <c r="AP17" s="409" t="n">
        <f aca="false">SUM(AP7:AP16)</f>
        <v>0</v>
      </c>
      <c r="AQ17" s="409" t="n">
        <f aca="false">SUM(AQ7:AQ16)</f>
        <v>0</v>
      </c>
      <c r="AR17" s="409" t="n">
        <f aca="false">SUM(AR7:AR16)</f>
        <v>0</v>
      </c>
      <c r="AS17" s="409" t="n">
        <f aca="false">SUM(AS7:AS16)</f>
        <v>0</v>
      </c>
      <c r="AT17" s="409" t="n">
        <f aca="false">SUM(AT7:AT16)</f>
        <v>0</v>
      </c>
      <c r="AU17" s="409" t="n">
        <f aca="false">SUM(AU7:AU16)</f>
        <v>0</v>
      </c>
      <c r="AV17" s="409" t="n">
        <f aca="false">SUM(AV7:AV16)</f>
        <v>0</v>
      </c>
      <c r="AW17" s="409" t="n">
        <f aca="false">SUM(AW7:AW16)</f>
        <v>0</v>
      </c>
      <c r="AX17" s="409" t="n">
        <f aca="false">SUM(AX7:AX16)</f>
        <v>0</v>
      </c>
      <c r="AY17" s="409" t="n">
        <f aca="false">SUM(AY7:AY16)</f>
        <v>0</v>
      </c>
      <c r="AZ17" s="409" t="n">
        <f aca="false">SUM(AZ7:AZ16)</f>
        <v>0</v>
      </c>
      <c r="BA17" s="409" t="n">
        <f aca="false">SUM(BA7:BA16)</f>
        <v>0</v>
      </c>
      <c r="BB17" s="409" t="n">
        <f aca="false">SUM(BB7:BB16)</f>
        <v>0</v>
      </c>
      <c r="BC17" s="409" t="n">
        <f aca="false">SUM(BC7:BC16)</f>
        <v>0</v>
      </c>
      <c r="BD17" s="409" t="n">
        <f aca="false">SUM(BD7:BD16)</f>
        <v>0</v>
      </c>
      <c r="BE17" s="409" t="n">
        <f aca="false">SUM(BE7:BE16)</f>
        <v>0</v>
      </c>
      <c r="BF17" s="409" t="n">
        <f aca="false">SUM(BF7:BF16)</f>
        <v>0</v>
      </c>
      <c r="BG17" s="409" t="n">
        <f aca="false">SUM(BG7:BG16)</f>
        <v>0</v>
      </c>
      <c r="BH17" s="409" t="n">
        <f aca="false">SUM(BH7:BH16)</f>
        <v>0</v>
      </c>
      <c r="BI17" s="409" t="n">
        <f aca="false">SUM(BI7:BI16)</f>
        <v>0</v>
      </c>
      <c r="BJ17" s="409" t="n">
        <f aca="false">SUM(BJ7:BJ16)</f>
        <v>0</v>
      </c>
      <c r="BK17" s="409" t="n">
        <f aca="false">SUM(BK7:BK16)</f>
        <v>0</v>
      </c>
      <c r="BL17" s="409" t="n">
        <f aca="false">SUM(BL7:BL16)</f>
        <v>0</v>
      </c>
      <c r="BM17" s="409" t="n">
        <f aca="false">SUM(BM7:BM16)</f>
        <v>0</v>
      </c>
      <c r="BN17" s="409" t="n">
        <f aca="false">SUM(BN7:BN16)</f>
        <v>0</v>
      </c>
      <c r="BO17" s="409" t="n">
        <f aca="false">SUM(BO7:BO16)</f>
        <v>0</v>
      </c>
      <c r="BP17" s="409" t="n">
        <f aca="false">SUM(BP7:BP16)</f>
        <v>0</v>
      </c>
      <c r="BQ17" s="409" t="n">
        <f aca="false">SUM(BQ7:BQ16)</f>
        <v>0</v>
      </c>
      <c r="BR17" s="409" t="n">
        <f aca="false">SUM(BR7:BR16)</f>
        <v>0</v>
      </c>
      <c r="BS17" s="409" t="n">
        <f aca="false">SUM(BS7:BS16)</f>
        <v>0</v>
      </c>
      <c r="BT17" s="409" t="n">
        <f aca="false">SUM(BT7:BT16)</f>
        <v>0</v>
      </c>
      <c r="BU17" s="409" t="n">
        <f aca="false">SUM(BU7:BU16)</f>
        <v>0</v>
      </c>
      <c r="BV17" s="409" t="n">
        <f aca="false">SUM(BV7:BV16)</f>
        <v>0</v>
      </c>
      <c r="BW17" s="409" t="n">
        <f aca="false">SUM(BW7:BW16)</f>
        <v>0</v>
      </c>
      <c r="BX17" s="409" t="n">
        <f aca="false">SUM(BX7:BX16)</f>
        <v>0</v>
      </c>
      <c r="BY17" s="409" t="n">
        <f aca="false">SUM(BY7:BY16)</f>
        <v>0</v>
      </c>
      <c r="BZ17" s="409" t="n">
        <f aca="false">SUM(BZ7:BZ16)</f>
        <v>0</v>
      </c>
      <c r="CA17" s="409" t="n">
        <f aca="false">SUM(CA7:CA16)</f>
        <v>0</v>
      </c>
      <c r="CB17" s="409" t="n">
        <f aca="false">SUM(CB7:CB16)</f>
        <v>0</v>
      </c>
      <c r="CC17" s="409" t="n">
        <f aca="false">SUM(CC7:CC16)</f>
        <v>0</v>
      </c>
      <c r="CD17" s="409" t="n">
        <f aca="false">SUM(CD7:CD16)</f>
        <v>0</v>
      </c>
      <c r="CE17" s="409" t="n">
        <f aca="false">SUM(CE7:CE16)</f>
        <v>0</v>
      </c>
      <c r="CF17" s="409" t="n">
        <f aca="false">SUM(CF7:CF16)</f>
        <v>0</v>
      </c>
      <c r="CG17" s="409" t="n">
        <f aca="false">SUM(CG7:CG16)</f>
        <v>0</v>
      </c>
      <c r="CH17" s="409" t="n">
        <f aca="false">SUM(CH7:CH16)</f>
        <v>0</v>
      </c>
      <c r="CI17" s="409" t="n">
        <f aca="false">SUM(CI7:CI16)</f>
        <v>0</v>
      </c>
      <c r="CJ17" s="409" t="n">
        <f aca="false">SUM(CJ7:CJ16)</f>
        <v>0</v>
      </c>
      <c r="CK17" s="409" t="n">
        <f aca="false">SUM(CK7:CK16)</f>
        <v>0</v>
      </c>
      <c r="CL17" s="409" t="n">
        <f aca="false">SUM(CL7:CL16)</f>
        <v>0</v>
      </c>
      <c r="CM17" s="409" t="n">
        <f aca="false">SUM(CM7:CM16)</f>
        <v>0</v>
      </c>
      <c r="CN17" s="409" t="n">
        <f aca="false">SUM(CN7:CN16)</f>
        <v>0</v>
      </c>
      <c r="CO17" s="409" t="n">
        <f aca="false">SUM(CO7:CO16)</f>
        <v>0</v>
      </c>
      <c r="CP17" s="409" t="n">
        <f aca="false">SUM(CP7:CP16)</f>
        <v>0</v>
      </c>
      <c r="CQ17" s="409" t="n">
        <f aca="false">SUM(CQ7:CQ16)</f>
        <v>0</v>
      </c>
      <c r="CR17" s="409" t="n">
        <f aca="false">SUM(CR7:CR16)</f>
        <v>0</v>
      </c>
      <c r="CS17" s="409" t="n">
        <f aca="false">SUM(CS7:CS16)</f>
        <v>0</v>
      </c>
      <c r="CT17" s="409" t="n">
        <f aca="false">SUM(CT7:CT16)</f>
        <v>0</v>
      </c>
      <c r="CU17" s="409" t="n">
        <f aca="false">SUM(CU7:CU16)</f>
        <v>0</v>
      </c>
      <c r="CV17" s="409" t="n">
        <f aca="false">SUM(CV7:CV16)</f>
        <v>0</v>
      </c>
      <c r="CW17" s="409" t="n">
        <f aca="false">SUM(CW7:CW16)</f>
        <v>0</v>
      </c>
      <c r="CX17" s="409" t="n">
        <f aca="false">SUM(CX7:CX16)</f>
        <v>0</v>
      </c>
      <c r="CY17" s="409" t="n">
        <f aca="false">SUM(CY7:CY16)</f>
        <v>0</v>
      </c>
      <c r="CZ17" s="409" t="n">
        <f aca="false">SUM(CZ7:CZ16)</f>
        <v>0</v>
      </c>
      <c r="DA17" s="409" t="n">
        <f aca="false">SUM(DA7:DA16)</f>
        <v>0</v>
      </c>
      <c r="DB17" s="409" t="n">
        <f aca="false">SUM(DB7:DB16)</f>
        <v>0</v>
      </c>
      <c r="DC17" s="409" t="n">
        <f aca="false">SUM(DC7:DC16)</f>
        <v>0</v>
      </c>
      <c r="DD17" s="409" t="n">
        <f aca="false">SUM(DD7:DD16)</f>
        <v>0</v>
      </c>
      <c r="DE17" s="409" t="n">
        <f aca="false">SUM(DE7:DE16)</f>
        <v>0</v>
      </c>
    </row>
    <row r="19" customFormat="false" ht="15" hidden="false" customHeight="true" outlineLevel="0" collapsed="false">
      <c r="A19" s="386" t="s">
        <v>1358</v>
      </c>
    </row>
    <row r="20" customFormat="false" ht="15" hidden="false" customHeight="true" outlineLevel="0" collapsed="false">
      <c r="A20" s="1" t="s">
        <v>1359</v>
      </c>
      <c r="B20" s="409" t="n">
        <f aca="false">IF(B$4&gt;='APA Inputs'!$B$6,INDEX('APA Summary'!$B$32:$J$32,B$5-2025)/INDEX('APA Summary'!$B$22:$J$22,B$5-2025),0)</f>
        <v>0</v>
      </c>
      <c r="C20" s="409" t="n">
        <f aca="false">IF(C$4&gt;='APA Inputs'!$B$6,INDEX('APA Summary'!$B$32:$J$32,C$5-2025)/INDEX('APA Summary'!$B$22:$J$22,C$5-2025),0)</f>
        <v>0</v>
      </c>
      <c r="D20" s="409" t="n">
        <f aca="false">IF(D$4&gt;='APA Inputs'!$B$6,INDEX('APA Summary'!$B$32:$J$32,D$5-2025)/INDEX('APA Summary'!$B$22:$J$22,D$5-2025),0)</f>
        <v>0</v>
      </c>
      <c r="E20" s="409" t="n">
        <f aca="false">IF(E$4&gt;='APA Inputs'!$B$6,INDEX('APA Summary'!$B$32:$J$32,E$5-2025)/INDEX('APA Summary'!$B$22:$J$22,E$5-2025),0)</f>
        <v>0</v>
      </c>
      <c r="F20" s="409" t="n">
        <f aca="false">IF(F$4&gt;='APA Inputs'!$B$6,INDEX('APA Summary'!$B$32:$J$32,F$5-2025)/INDEX('APA Summary'!$B$22:$J$22,F$5-2025),0)</f>
        <v>0</v>
      </c>
      <c r="G20" s="409" t="n">
        <f aca="false">IF(G$4&gt;='APA Inputs'!$B$6,INDEX('APA Summary'!$B$32:$J$32,G$5-2025)/INDEX('APA Summary'!$B$22:$J$22,G$5-2025),0)</f>
        <v>0</v>
      </c>
      <c r="H20" s="409" t="n">
        <f aca="false">IF(H$4&gt;='APA Inputs'!$B$6,INDEX('APA Summary'!$B$32:$J$32,H$5-2025)/INDEX('APA Summary'!$B$22:$J$22,H$5-2025),0)</f>
        <v>1108.06288333333</v>
      </c>
      <c r="I20" s="409" t="n">
        <f aca="false">IF(I$4&gt;='APA Inputs'!$B$6,INDEX('APA Summary'!$B$32:$J$32,I$5-2025)/INDEX('APA Summary'!$B$22:$J$22,I$5-2025),0)</f>
        <v>1108.06288333333</v>
      </c>
      <c r="J20" s="409" t="n">
        <f aca="false">IF(J$4&gt;='APA Inputs'!$B$6,INDEX('APA Summary'!$B$32:$J$32,J$5-2025)/INDEX('APA Summary'!$B$22:$J$22,J$5-2025),0)</f>
        <v>1108.06288333333</v>
      </c>
      <c r="K20" s="409" t="n">
        <f aca="false">IF(K$4&gt;='APA Inputs'!$B$6,INDEX('APA Summary'!$B$32:$J$32,K$5-2025)/INDEX('APA Summary'!$B$22:$J$22,K$5-2025),0)</f>
        <v>1108.06288333333</v>
      </c>
      <c r="L20" s="409" t="n">
        <f aca="false">IF(L$4&gt;='APA Inputs'!$B$6,INDEX('APA Summary'!$B$32:$J$32,L$5-2025)/INDEX('APA Summary'!$B$22:$J$22,L$5-2025),0)</f>
        <v>1108.06288333333</v>
      </c>
      <c r="M20" s="409" t="n">
        <f aca="false">IF(M$4&gt;='APA Inputs'!$B$6,INDEX('APA Summary'!$B$32:$J$32,M$5-2025)/INDEX('APA Summary'!$B$22:$J$22,M$5-2025),0)</f>
        <v>1108.06288333333</v>
      </c>
      <c r="N20" s="409" t="n">
        <f aca="false">IF(N$4&gt;='APA Inputs'!$B$6,INDEX('APA Summary'!$B$32:$J$32,N$5-2025)/INDEX('APA Summary'!$B$22:$J$22,N$5-2025),0)</f>
        <v>0</v>
      </c>
      <c r="O20" s="409" t="n">
        <f aca="false">IF(O$4&gt;='APA Inputs'!$B$6,INDEX('APA Summary'!$B$32:$J$32,O$5-2025)/INDEX('APA Summary'!$B$22:$J$22,O$5-2025),0)</f>
        <v>0</v>
      </c>
      <c r="P20" s="409" t="n">
        <f aca="false">IF(P$4&gt;='APA Inputs'!$B$6,INDEX('APA Summary'!$B$32:$J$32,P$5-2025)/INDEX('APA Summary'!$B$22:$J$22,P$5-2025),0)</f>
        <v>0</v>
      </c>
      <c r="Q20" s="409" t="n">
        <f aca="false">IF(Q$4&gt;='APA Inputs'!$B$6,INDEX('APA Summary'!$B$32:$J$32,Q$5-2025)/INDEX('APA Summary'!$B$22:$J$22,Q$5-2025),0)</f>
        <v>0</v>
      </c>
      <c r="R20" s="409" t="n">
        <f aca="false">IF(R$4&gt;='APA Inputs'!$B$6,INDEX('APA Summary'!$B$32:$J$32,R$5-2025)/INDEX('APA Summary'!$B$22:$J$22,R$5-2025),0)</f>
        <v>0</v>
      </c>
      <c r="S20" s="409" t="n">
        <f aca="false">IF(S$4&gt;='APA Inputs'!$B$6,INDEX('APA Summary'!$B$32:$J$32,S$5-2025)/INDEX('APA Summary'!$B$22:$J$22,S$5-2025),0)</f>
        <v>0</v>
      </c>
      <c r="T20" s="409" t="n">
        <f aca="false">IF(T$4&gt;='APA Inputs'!$B$6,INDEX('APA Summary'!$B$32:$J$32,T$5-2025)/INDEX('APA Summary'!$B$22:$J$22,T$5-2025),0)</f>
        <v>0</v>
      </c>
      <c r="U20" s="409" t="n">
        <f aca="false">IF(U$4&gt;='APA Inputs'!$B$6,INDEX('APA Summary'!$B$32:$J$32,U$5-2025)/INDEX('APA Summary'!$B$22:$J$22,U$5-2025),0)</f>
        <v>0</v>
      </c>
      <c r="V20" s="409" t="n">
        <f aca="false">IF(V$4&gt;='APA Inputs'!$B$6,INDEX('APA Summary'!$B$32:$J$32,V$5-2025)/INDEX('APA Summary'!$B$22:$J$22,V$5-2025),0)</f>
        <v>0</v>
      </c>
      <c r="W20" s="409" t="n">
        <f aca="false">IF(W$4&gt;='APA Inputs'!$B$6,INDEX('APA Summary'!$B$32:$J$32,W$5-2025)/INDEX('APA Summary'!$B$22:$J$22,W$5-2025),0)</f>
        <v>0</v>
      </c>
      <c r="X20" s="409" t="n">
        <f aca="false">IF(X$4&gt;='APA Inputs'!$B$6,INDEX('APA Summary'!$B$32:$J$32,X$5-2025)/INDEX('APA Summary'!$B$22:$J$22,X$5-2025),0)</f>
        <v>0</v>
      </c>
      <c r="Y20" s="409" t="n">
        <f aca="false">IF(Y$4&gt;='APA Inputs'!$B$6,INDEX('APA Summary'!$B$32:$J$32,Y$5-2025)/INDEX('APA Summary'!$B$22:$J$22,Y$5-2025),0)</f>
        <v>0</v>
      </c>
      <c r="Z20" s="409" t="n">
        <f aca="false">IF(Z$4&gt;='APA Inputs'!$B$6,INDEX('APA Summary'!$B$32:$J$32,Z$5-2025)/INDEX('APA Summary'!$B$22:$J$22,Z$5-2025),0)</f>
        <v>0</v>
      </c>
      <c r="AA20" s="409" t="n">
        <f aca="false">IF(AA$4&gt;='APA Inputs'!$B$6,INDEX('APA Summary'!$B$32:$J$32,AA$5-2025)/INDEX('APA Summary'!$B$22:$J$22,AA$5-2025),0)</f>
        <v>0</v>
      </c>
      <c r="AB20" s="409" t="n">
        <f aca="false">IF(AB$4&gt;='APA Inputs'!$B$6,INDEX('APA Summary'!$B$32:$J$32,AB$5-2025)/INDEX('APA Summary'!$B$22:$J$22,AB$5-2025),0)</f>
        <v>0</v>
      </c>
      <c r="AC20" s="409" t="n">
        <f aca="false">IF(AC$4&gt;='APA Inputs'!$B$6,INDEX('APA Summary'!$B$32:$J$32,AC$5-2025)/INDEX('APA Summary'!$B$22:$J$22,AC$5-2025),0)</f>
        <v>0</v>
      </c>
      <c r="AD20" s="409" t="n">
        <f aca="false">IF(AD$4&gt;='APA Inputs'!$B$6,INDEX('APA Summary'!$B$32:$J$32,AD$5-2025)/INDEX('APA Summary'!$B$22:$J$22,AD$5-2025),0)</f>
        <v>0</v>
      </c>
      <c r="AE20" s="409" t="n">
        <f aca="false">IF(AE$4&gt;='APA Inputs'!$B$6,INDEX('APA Summary'!$B$32:$J$32,AE$5-2025)/INDEX('APA Summary'!$B$22:$J$22,AE$5-2025),0)</f>
        <v>0</v>
      </c>
      <c r="AF20" s="409" t="n">
        <f aca="false">IF(AF$4&gt;='APA Inputs'!$B$6,INDEX('APA Summary'!$B$32:$J$32,AF$5-2025)/INDEX('APA Summary'!$B$22:$J$22,AF$5-2025),0)</f>
        <v>0</v>
      </c>
      <c r="AG20" s="409" t="n">
        <f aca="false">IF(AG$4&gt;='APA Inputs'!$B$6,INDEX('APA Summary'!$B$32:$J$32,AG$5-2025)/INDEX('APA Summary'!$B$22:$J$22,AG$5-2025),0)</f>
        <v>0</v>
      </c>
      <c r="AH20" s="409" t="n">
        <f aca="false">IF(AH$4&gt;='APA Inputs'!$B$6,INDEX('APA Summary'!$B$32:$J$32,AH$5-2025)/INDEX('APA Summary'!$B$22:$J$22,AH$5-2025),0)</f>
        <v>0</v>
      </c>
      <c r="AI20" s="409" t="n">
        <f aca="false">IF(AI$4&gt;='APA Inputs'!$B$6,INDEX('APA Summary'!$B$32:$J$32,AI$5-2025)/INDEX('APA Summary'!$B$22:$J$22,AI$5-2025),0)</f>
        <v>0</v>
      </c>
      <c r="AJ20" s="409" t="n">
        <f aca="false">IF(AJ$4&gt;='APA Inputs'!$B$6,INDEX('APA Summary'!$B$32:$J$32,AJ$5-2025)/INDEX('APA Summary'!$B$22:$J$22,AJ$5-2025),0)</f>
        <v>0</v>
      </c>
      <c r="AK20" s="409" t="n">
        <f aca="false">IF(AK$4&gt;='APA Inputs'!$B$6,INDEX('APA Summary'!$B$32:$J$32,AK$5-2025)/INDEX('APA Summary'!$B$22:$J$22,AK$5-2025),0)</f>
        <v>0</v>
      </c>
      <c r="AL20" s="409" t="n">
        <f aca="false">IF(AL$4&gt;='APA Inputs'!$B$6,INDEX('APA Summary'!$B$32:$J$32,AL$5-2025)/INDEX('APA Summary'!$B$22:$J$22,AL$5-2025),0)</f>
        <v>0</v>
      </c>
      <c r="AM20" s="409" t="n">
        <f aca="false">IF(AM$4&gt;='APA Inputs'!$B$6,INDEX('APA Summary'!$B$32:$J$32,AM$5-2025)/INDEX('APA Summary'!$B$22:$J$22,AM$5-2025),0)</f>
        <v>0</v>
      </c>
      <c r="AN20" s="409" t="n">
        <f aca="false">IF(AN$4&gt;='APA Inputs'!$B$6,INDEX('APA Summary'!$B$32:$J$32,AN$5-2025)/INDEX('APA Summary'!$B$22:$J$22,AN$5-2025),0)</f>
        <v>0</v>
      </c>
      <c r="AO20" s="409" t="n">
        <f aca="false">IF(AO$4&gt;='APA Inputs'!$B$6,INDEX('APA Summary'!$B$32:$J$32,AO$5-2025)/INDEX('APA Summary'!$B$22:$J$22,AO$5-2025),0)</f>
        <v>0</v>
      </c>
      <c r="AP20" s="409" t="n">
        <f aca="false">IF(AP$4&gt;='APA Inputs'!$B$6,INDEX('APA Summary'!$B$32:$J$32,AP$5-2025)/INDEX('APA Summary'!$B$22:$J$22,AP$5-2025),0)</f>
        <v>0</v>
      </c>
      <c r="AQ20" s="409" t="n">
        <f aca="false">IF(AQ$4&gt;='APA Inputs'!$B$6,INDEX('APA Summary'!$B$32:$J$32,AQ$5-2025)/INDEX('APA Summary'!$B$22:$J$22,AQ$5-2025),0)</f>
        <v>0</v>
      </c>
      <c r="AR20" s="409" t="n">
        <f aca="false">IF(AR$4&gt;='APA Inputs'!$B$6,INDEX('APA Summary'!$B$32:$J$32,AR$5-2025)/INDEX('APA Summary'!$B$22:$J$22,AR$5-2025),0)</f>
        <v>0</v>
      </c>
      <c r="AS20" s="409" t="n">
        <f aca="false">IF(AS$4&gt;='APA Inputs'!$B$6,INDEX('APA Summary'!$B$32:$J$32,AS$5-2025)/INDEX('APA Summary'!$B$22:$J$22,AS$5-2025),0)</f>
        <v>0</v>
      </c>
      <c r="AT20" s="409" t="n">
        <f aca="false">IF(AT$4&gt;='APA Inputs'!$B$6,INDEX('APA Summary'!$B$32:$J$32,AT$5-2025)/INDEX('APA Summary'!$B$22:$J$22,AT$5-2025),0)</f>
        <v>0</v>
      </c>
      <c r="AU20" s="409" t="n">
        <f aca="false">IF(AU$4&gt;='APA Inputs'!$B$6,INDEX('APA Summary'!$B$32:$J$32,AU$5-2025)/INDEX('APA Summary'!$B$22:$J$22,AU$5-2025),0)</f>
        <v>0</v>
      </c>
      <c r="AV20" s="409" t="n">
        <f aca="false">IF(AV$4&gt;='APA Inputs'!$B$6,INDEX('APA Summary'!$B$32:$J$32,AV$5-2025)/INDEX('APA Summary'!$B$22:$J$22,AV$5-2025),0)</f>
        <v>0</v>
      </c>
      <c r="AW20" s="409" t="n">
        <f aca="false">IF(AW$4&gt;='APA Inputs'!$B$6,INDEX('APA Summary'!$B$32:$J$32,AW$5-2025)/INDEX('APA Summary'!$B$22:$J$22,AW$5-2025),0)</f>
        <v>0</v>
      </c>
      <c r="AX20" s="409" t="n">
        <f aca="false">IF(AX$4&gt;='APA Inputs'!$B$6,INDEX('APA Summary'!$B$32:$J$32,AX$5-2025)/INDEX('APA Summary'!$B$22:$J$22,AX$5-2025),0)</f>
        <v>0</v>
      </c>
      <c r="AY20" s="409" t="n">
        <f aca="false">IF(AY$4&gt;='APA Inputs'!$B$6,INDEX('APA Summary'!$B$32:$J$32,AY$5-2025)/INDEX('APA Summary'!$B$22:$J$22,AY$5-2025),0)</f>
        <v>0</v>
      </c>
      <c r="AZ20" s="409" t="n">
        <f aca="false">IF(AZ$4&gt;='APA Inputs'!$B$6,INDEX('APA Summary'!$B$32:$J$32,AZ$5-2025)/INDEX('APA Summary'!$B$22:$J$22,AZ$5-2025),0)</f>
        <v>0</v>
      </c>
      <c r="BA20" s="409" t="n">
        <f aca="false">IF(BA$4&gt;='APA Inputs'!$B$6,INDEX('APA Summary'!$B$32:$J$32,BA$5-2025)/INDEX('APA Summary'!$B$22:$J$22,BA$5-2025),0)</f>
        <v>0</v>
      </c>
      <c r="BB20" s="409" t="n">
        <f aca="false">IF(BB$4&gt;='APA Inputs'!$B$6,INDEX('APA Summary'!$B$32:$J$32,BB$5-2025)/INDEX('APA Summary'!$B$22:$J$22,BB$5-2025),0)</f>
        <v>0</v>
      </c>
      <c r="BC20" s="409" t="n">
        <f aca="false">IF(BC$4&gt;='APA Inputs'!$B$6,INDEX('APA Summary'!$B$32:$J$32,BC$5-2025)/INDEX('APA Summary'!$B$22:$J$22,BC$5-2025),0)</f>
        <v>0</v>
      </c>
      <c r="BD20" s="409" t="n">
        <f aca="false">IF(BD$4&gt;='APA Inputs'!$B$6,INDEX('APA Summary'!$B$32:$J$32,BD$5-2025)/INDEX('APA Summary'!$B$22:$J$22,BD$5-2025),0)</f>
        <v>0</v>
      </c>
      <c r="BE20" s="409" t="n">
        <f aca="false">IF(BE$4&gt;='APA Inputs'!$B$6,INDEX('APA Summary'!$B$32:$J$32,BE$5-2025)/INDEX('APA Summary'!$B$22:$J$22,BE$5-2025),0)</f>
        <v>0</v>
      </c>
      <c r="BF20" s="409" t="n">
        <f aca="false">IF(BF$4&gt;='APA Inputs'!$B$6,INDEX('APA Summary'!$B$32:$J$32,BF$5-2025)/INDEX('APA Summary'!$B$22:$J$22,BF$5-2025),0)</f>
        <v>0</v>
      </c>
      <c r="BG20" s="409" t="n">
        <f aca="false">IF(BG$4&gt;='APA Inputs'!$B$6,INDEX('APA Summary'!$B$32:$J$32,BG$5-2025)/INDEX('APA Summary'!$B$22:$J$22,BG$5-2025),0)</f>
        <v>0</v>
      </c>
      <c r="BH20" s="409" t="n">
        <f aca="false">IF(BH$4&gt;='APA Inputs'!$B$6,INDEX('APA Summary'!$B$32:$J$32,BH$5-2025)/INDEX('APA Summary'!$B$22:$J$22,BH$5-2025),0)</f>
        <v>0</v>
      </c>
      <c r="BI20" s="409" t="n">
        <f aca="false">IF(BI$4&gt;='APA Inputs'!$B$6,INDEX('APA Summary'!$B$32:$J$32,BI$5-2025)/INDEX('APA Summary'!$B$22:$J$22,BI$5-2025),0)</f>
        <v>0</v>
      </c>
      <c r="BJ20" s="409" t="n">
        <f aca="false">IF(BJ$4&gt;='APA Inputs'!$B$6,INDEX('APA Summary'!$B$32:$J$32,BJ$5-2025)/INDEX('APA Summary'!$B$22:$J$22,BJ$5-2025),0)</f>
        <v>0</v>
      </c>
      <c r="BK20" s="409" t="n">
        <f aca="false">IF(BK$4&gt;='APA Inputs'!$B$6,INDEX('APA Summary'!$B$32:$J$32,BK$5-2025)/INDEX('APA Summary'!$B$22:$J$22,BK$5-2025),0)</f>
        <v>0</v>
      </c>
      <c r="BL20" s="409" t="n">
        <f aca="false">IF(BL$4&gt;='APA Inputs'!$B$6,INDEX('APA Summary'!$B$32:$J$32,BL$5-2025)/INDEX('APA Summary'!$B$22:$J$22,BL$5-2025),0)</f>
        <v>0</v>
      </c>
      <c r="BM20" s="409" t="n">
        <f aca="false">IF(BM$4&gt;='APA Inputs'!$B$6,INDEX('APA Summary'!$B$32:$J$32,BM$5-2025)/INDEX('APA Summary'!$B$22:$J$22,BM$5-2025),0)</f>
        <v>0</v>
      </c>
      <c r="BN20" s="409" t="n">
        <f aca="false">IF(BN$4&gt;='APA Inputs'!$B$6,INDEX('APA Summary'!$B$32:$J$32,BN$5-2025)/INDEX('APA Summary'!$B$22:$J$22,BN$5-2025),0)</f>
        <v>0</v>
      </c>
      <c r="BO20" s="409" t="n">
        <f aca="false">IF(BO$4&gt;='APA Inputs'!$B$6,INDEX('APA Summary'!$B$32:$J$32,BO$5-2025)/INDEX('APA Summary'!$B$22:$J$22,BO$5-2025),0)</f>
        <v>0</v>
      </c>
      <c r="BP20" s="409" t="n">
        <f aca="false">IF(BP$4&gt;='APA Inputs'!$B$6,INDEX('APA Summary'!$B$32:$J$32,BP$5-2025)/INDEX('APA Summary'!$B$22:$J$22,BP$5-2025),0)</f>
        <v>0</v>
      </c>
      <c r="BQ20" s="409" t="n">
        <f aca="false">IF(BQ$4&gt;='APA Inputs'!$B$6,INDEX('APA Summary'!$B$32:$J$32,BQ$5-2025)/INDEX('APA Summary'!$B$22:$J$22,BQ$5-2025),0)</f>
        <v>0</v>
      </c>
      <c r="BR20" s="409" t="n">
        <f aca="false">IF(BR$4&gt;='APA Inputs'!$B$6,INDEX('APA Summary'!$B$32:$J$32,BR$5-2025)/INDEX('APA Summary'!$B$22:$J$22,BR$5-2025),0)</f>
        <v>0</v>
      </c>
      <c r="BS20" s="409" t="n">
        <f aca="false">IF(BS$4&gt;='APA Inputs'!$B$6,INDEX('APA Summary'!$B$32:$J$32,BS$5-2025)/INDEX('APA Summary'!$B$22:$J$22,BS$5-2025),0)</f>
        <v>0</v>
      </c>
      <c r="BT20" s="409" t="n">
        <f aca="false">IF(BT$4&gt;='APA Inputs'!$B$6,INDEX('APA Summary'!$B$32:$J$32,BT$5-2025)/INDEX('APA Summary'!$B$22:$J$22,BT$5-2025),0)</f>
        <v>0</v>
      </c>
      <c r="BU20" s="409" t="n">
        <f aca="false">IF(BU$4&gt;='APA Inputs'!$B$6,INDEX('APA Summary'!$B$32:$J$32,BU$5-2025)/INDEX('APA Summary'!$B$22:$J$22,BU$5-2025),0)</f>
        <v>0</v>
      </c>
      <c r="BV20" s="409" t="n">
        <f aca="false">IF(BV$4&gt;='APA Inputs'!$B$6,INDEX('APA Summary'!$B$32:$J$32,BV$5-2025)/INDEX('APA Summary'!$B$22:$J$22,BV$5-2025),0)</f>
        <v>0</v>
      </c>
      <c r="BW20" s="409" t="n">
        <f aca="false">IF(BW$4&gt;='APA Inputs'!$B$6,INDEX('APA Summary'!$B$32:$J$32,BW$5-2025)/INDEX('APA Summary'!$B$22:$J$22,BW$5-2025),0)</f>
        <v>0</v>
      </c>
      <c r="BX20" s="409" t="n">
        <f aca="false">IF(BX$4&gt;='APA Inputs'!$B$6,INDEX('APA Summary'!$B$32:$J$32,BX$5-2025)/INDEX('APA Summary'!$B$22:$J$22,BX$5-2025),0)</f>
        <v>0</v>
      </c>
      <c r="BY20" s="409" t="n">
        <f aca="false">IF(BY$4&gt;='APA Inputs'!$B$6,INDEX('APA Summary'!$B$32:$J$32,BY$5-2025)/INDEX('APA Summary'!$B$22:$J$22,BY$5-2025),0)</f>
        <v>0</v>
      </c>
      <c r="BZ20" s="409" t="n">
        <f aca="false">IF(BZ$4&gt;='APA Inputs'!$B$6,INDEX('APA Summary'!$B$32:$J$32,BZ$5-2025)/INDEX('APA Summary'!$B$22:$J$22,BZ$5-2025),0)</f>
        <v>0</v>
      </c>
      <c r="CA20" s="409" t="n">
        <f aca="false">IF(CA$4&gt;='APA Inputs'!$B$6,INDEX('APA Summary'!$B$32:$J$32,CA$5-2025)/INDEX('APA Summary'!$B$22:$J$22,CA$5-2025),0)</f>
        <v>0</v>
      </c>
      <c r="CB20" s="409" t="n">
        <f aca="false">IF(CB$4&gt;='APA Inputs'!$B$6,INDEX('APA Summary'!$B$32:$J$32,CB$5-2025)/INDEX('APA Summary'!$B$22:$J$22,CB$5-2025),0)</f>
        <v>0</v>
      </c>
      <c r="CC20" s="409" t="n">
        <f aca="false">IF(CC$4&gt;='APA Inputs'!$B$6,INDEX('APA Summary'!$B$32:$J$32,CC$5-2025)/INDEX('APA Summary'!$B$22:$J$22,CC$5-2025),0)</f>
        <v>0</v>
      </c>
      <c r="CD20" s="409" t="n">
        <f aca="false">IF(CD$4&gt;='APA Inputs'!$B$6,INDEX('APA Summary'!$B$32:$J$32,CD$5-2025)/INDEX('APA Summary'!$B$22:$J$22,CD$5-2025),0)</f>
        <v>0</v>
      </c>
      <c r="CE20" s="409" t="n">
        <f aca="false">IF(CE$4&gt;='APA Inputs'!$B$6,INDEX('APA Summary'!$B$32:$J$32,CE$5-2025)/INDEX('APA Summary'!$B$22:$J$22,CE$5-2025),0)</f>
        <v>0</v>
      </c>
      <c r="CF20" s="409" t="n">
        <f aca="false">IF(CF$4&gt;='APA Inputs'!$B$6,INDEX('APA Summary'!$B$32:$J$32,CF$5-2025)/INDEX('APA Summary'!$B$22:$J$22,CF$5-2025),0)</f>
        <v>0</v>
      </c>
      <c r="CG20" s="409" t="n">
        <f aca="false">IF(CG$4&gt;='APA Inputs'!$B$6,INDEX('APA Summary'!$B$32:$J$32,CG$5-2025)/INDEX('APA Summary'!$B$22:$J$22,CG$5-2025),0)</f>
        <v>0</v>
      </c>
      <c r="CH20" s="409" t="n">
        <f aca="false">IF(CH$4&gt;='APA Inputs'!$B$6,INDEX('APA Summary'!$B$32:$J$32,CH$5-2025)/INDEX('APA Summary'!$B$22:$J$22,CH$5-2025),0)</f>
        <v>0</v>
      </c>
      <c r="CI20" s="409" t="n">
        <f aca="false">IF(CI$4&gt;='APA Inputs'!$B$6,INDEX('APA Summary'!$B$32:$J$32,CI$5-2025)/INDEX('APA Summary'!$B$22:$J$22,CI$5-2025),0)</f>
        <v>0</v>
      </c>
      <c r="CJ20" s="409" t="n">
        <f aca="false">IF(CJ$4&gt;='APA Inputs'!$B$6,INDEX('APA Summary'!$B$32:$J$32,CJ$5-2025)/INDEX('APA Summary'!$B$22:$J$22,CJ$5-2025),0)</f>
        <v>0</v>
      </c>
      <c r="CK20" s="409" t="n">
        <f aca="false">IF(CK$4&gt;='APA Inputs'!$B$6,INDEX('APA Summary'!$B$32:$J$32,CK$5-2025)/INDEX('APA Summary'!$B$22:$J$22,CK$5-2025),0)</f>
        <v>0</v>
      </c>
      <c r="CL20" s="409" t="n">
        <f aca="false">IF(CL$4&gt;='APA Inputs'!$B$6,INDEX('APA Summary'!$B$32:$J$32,CL$5-2025)/INDEX('APA Summary'!$B$22:$J$22,CL$5-2025),0)</f>
        <v>0</v>
      </c>
      <c r="CM20" s="409" t="n">
        <f aca="false">IF(CM$4&gt;='APA Inputs'!$B$6,INDEX('APA Summary'!$B$32:$J$32,CM$5-2025)/INDEX('APA Summary'!$B$22:$J$22,CM$5-2025),0)</f>
        <v>0</v>
      </c>
      <c r="CN20" s="409" t="n">
        <f aca="false">IF(CN$4&gt;='APA Inputs'!$B$6,INDEX('APA Summary'!$B$32:$J$32,CN$5-2025)/INDEX('APA Summary'!$B$22:$J$22,CN$5-2025),0)</f>
        <v>0</v>
      </c>
      <c r="CO20" s="409" t="n">
        <f aca="false">IF(CO$4&gt;='APA Inputs'!$B$6,INDEX('APA Summary'!$B$32:$J$32,CO$5-2025)/INDEX('APA Summary'!$B$22:$J$22,CO$5-2025),0)</f>
        <v>0</v>
      </c>
      <c r="CP20" s="409" t="n">
        <f aca="false">IF(CP$4&gt;='APA Inputs'!$B$6,INDEX('APA Summary'!$B$32:$J$32,CP$5-2025)/INDEX('APA Summary'!$B$22:$J$22,CP$5-2025),0)</f>
        <v>0</v>
      </c>
      <c r="CQ20" s="409" t="n">
        <f aca="false">IF(CQ$4&gt;='APA Inputs'!$B$6,INDEX('APA Summary'!$B$32:$J$32,CQ$5-2025)/INDEX('APA Summary'!$B$22:$J$22,CQ$5-2025),0)</f>
        <v>0</v>
      </c>
      <c r="CR20" s="409" t="n">
        <f aca="false">IF(CR$4&gt;='APA Inputs'!$B$6,INDEX('APA Summary'!$B$32:$J$32,CR$5-2025)/INDEX('APA Summary'!$B$22:$J$22,CR$5-2025),0)</f>
        <v>0</v>
      </c>
      <c r="CS20" s="409" t="n">
        <f aca="false">IF(CS$4&gt;='APA Inputs'!$B$6,INDEX('APA Summary'!$B$32:$J$32,CS$5-2025)/INDEX('APA Summary'!$B$22:$J$22,CS$5-2025),0)</f>
        <v>0</v>
      </c>
      <c r="CT20" s="409" t="n">
        <f aca="false">IF(CT$4&gt;='APA Inputs'!$B$6,INDEX('APA Summary'!$B$32:$J$32,CT$5-2025)/INDEX('APA Summary'!$B$22:$J$22,CT$5-2025),0)</f>
        <v>0</v>
      </c>
      <c r="CU20" s="409" t="n">
        <f aca="false">IF(CU$4&gt;='APA Inputs'!$B$6,INDEX('APA Summary'!$B$32:$J$32,CU$5-2025)/INDEX('APA Summary'!$B$22:$J$22,CU$5-2025),0)</f>
        <v>0</v>
      </c>
      <c r="CV20" s="409" t="n">
        <f aca="false">IF(CV$4&gt;='APA Inputs'!$B$6,INDEX('APA Summary'!$B$32:$J$32,CV$5-2025)/INDEX('APA Summary'!$B$22:$J$22,CV$5-2025),0)</f>
        <v>0</v>
      </c>
      <c r="CW20" s="409" t="n">
        <f aca="false">IF(CW$4&gt;='APA Inputs'!$B$6,INDEX('APA Summary'!$B$32:$J$32,CW$5-2025)/INDEX('APA Summary'!$B$22:$J$22,CW$5-2025),0)</f>
        <v>0</v>
      </c>
      <c r="CX20" s="409" t="n">
        <f aca="false">IF(CX$4&gt;='APA Inputs'!$B$6,INDEX('APA Summary'!$B$32:$J$32,CX$5-2025)/INDEX('APA Summary'!$B$22:$J$22,CX$5-2025),0)</f>
        <v>0</v>
      </c>
      <c r="CY20" s="409" t="n">
        <f aca="false">IF(CY$4&gt;='APA Inputs'!$B$6,INDEX('APA Summary'!$B$32:$J$32,CY$5-2025)/INDEX('APA Summary'!$B$22:$J$22,CY$5-2025),0)</f>
        <v>0</v>
      </c>
      <c r="CZ20" s="409" t="n">
        <f aca="false">IF(CZ$4&gt;='APA Inputs'!$B$6,INDEX('APA Summary'!$B$32:$J$32,CZ$5-2025)/INDEX('APA Summary'!$B$22:$J$22,CZ$5-2025),0)</f>
        <v>0</v>
      </c>
      <c r="DA20" s="409" t="n">
        <f aca="false">IF(DA$4&gt;='APA Inputs'!$B$6,INDEX('APA Summary'!$B$32:$J$32,DA$5-2025)/INDEX('APA Summary'!$B$22:$J$22,DA$5-2025),0)</f>
        <v>0</v>
      </c>
      <c r="DB20" s="409" t="n">
        <f aca="false">IF(DB$4&gt;='APA Inputs'!$B$6,INDEX('APA Summary'!$B$32:$J$32,DB$5-2025)/INDEX('APA Summary'!$B$22:$J$22,DB$5-2025),0)</f>
        <v>0</v>
      </c>
      <c r="DC20" s="409" t="n">
        <f aca="false">IF(DC$4&gt;='APA Inputs'!$B$6,INDEX('APA Summary'!$B$32:$J$32,DC$5-2025)/INDEX('APA Summary'!$B$22:$J$22,DC$5-2025),0)</f>
        <v>0</v>
      </c>
      <c r="DD20" s="409" t="n">
        <f aca="false">IF(DD$4&gt;='APA Inputs'!$B$6,INDEX('APA Summary'!$B$32:$J$32,DD$5-2025)/INDEX('APA Summary'!$B$22:$J$22,DD$5-2025),0)</f>
        <v>0</v>
      </c>
      <c r="DE20" s="409" t="n">
        <f aca="false">IF(DE$4&gt;='APA Inputs'!$B$6,INDEX('APA Summary'!$B$32:$J$32,DE$5-2025)/INDEX('APA Summary'!$B$22:$J$22,DE$5-2025),0)</f>
        <v>0</v>
      </c>
    </row>
    <row r="21" customFormat="false" ht="15" hidden="false" customHeight="true" outlineLevel="0" collapsed="false">
      <c r="A21" s="1" t="s">
        <v>1360</v>
      </c>
      <c r="B21" s="409" t="n">
        <f aca="false">IF(AND(MONTH(B$4)='APA Inputs'!$B$18,B$5-1&gt;=YEAR('APA Inputs'!$B$6)),INDEX('APA Summary'!$B$47:$J$47,B$5-1-2025),0)</f>
        <v>0</v>
      </c>
      <c r="C21" s="409" t="n">
        <f aca="false">IF(AND(MONTH(C$4)='APA Inputs'!$B$18,C$5-1&gt;=YEAR('APA Inputs'!$B$6)),INDEX('APA Summary'!$B$47:$J$47,C$5-1-2025),0)</f>
        <v>0</v>
      </c>
      <c r="D21" s="409" t="n">
        <f aca="false">IF(AND(MONTH(D$4)='APA Inputs'!$B$18,D$5-1&gt;=YEAR('APA Inputs'!$B$6)),INDEX('APA Summary'!$B$47:$J$47,D$5-1-2025),0)</f>
        <v>0</v>
      </c>
      <c r="E21" s="409" t="n">
        <f aca="false">IF(AND(MONTH(E$4)='APA Inputs'!$B$18,E$5-1&gt;=YEAR('APA Inputs'!$B$6)),INDEX('APA Summary'!$B$47:$J$47,E$5-1-2025),0)</f>
        <v>0</v>
      </c>
      <c r="F21" s="409" t="n">
        <f aca="false">IF(AND(MONTH(F$4)='APA Inputs'!$B$18,F$5-1&gt;=YEAR('APA Inputs'!$B$6)),INDEX('APA Summary'!$B$47:$J$47,F$5-1-2025),0)</f>
        <v>0</v>
      </c>
      <c r="G21" s="409" t="n">
        <f aca="false">IF(AND(MONTH(G$4)='APA Inputs'!$B$18,G$5-1&gt;=YEAR('APA Inputs'!$B$6)),INDEX('APA Summary'!$B$47:$J$47,G$5-1-2025),0)</f>
        <v>0</v>
      </c>
      <c r="H21" s="409" t="n">
        <f aca="false">IF(AND(MONTH(H$4)='APA Inputs'!$B$18,H$5-1&gt;=YEAR('APA Inputs'!$B$6)),INDEX('APA Summary'!$B$47:$J$47,H$5-1-2025),0)</f>
        <v>0</v>
      </c>
      <c r="I21" s="409" t="n">
        <f aca="false">IF(AND(MONTH(I$4)='APA Inputs'!$B$18,I$5-1&gt;=YEAR('APA Inputs'!$B$6)),INDEX('APA Summary'!$B$47:$J$47,I$5-1-2025),0)</f>
        <v>0</v>
      </c>
      <c r="J21" s="409" t="n">
        <f aca="false">IF(AND(MONTH(J$4)='APA Inputs'!$B$18,J$5-1&gt;=YEAR('APA Inputs'!$B$6)),INDEX('APA Summary'!$B$47:$J$47,J$5-1-2025),0)</f>
        <v>0</v>
      </c>
      <c r="K21" s="409" t="n">
        <f aca="false">IF(AND(MONTH(K$4)='APA Inputs'!$B$18,K$5-1&gt;=YEAR('APA Inputs'!$B$6)),INDEX('APA Summary'!$B$47:$J$47,K$5-1-2025),0)</f>
        <v>0</v>
      </c>
      <c r="L21" s="409" t="n">
        <f aca="false">IF(AND(MONTH(L$4)='APA Inputs'!$B$18,L$5-1&gt;=YEAR('APA Inputs'!$B$6)),INDEX('APA Summary'!$B$47:$J$47,L$5-1-2025),0)</f>
        <v>0</v>
      </c>
      <c r="M21" s="409" t="n">
        <f aca="false">IF(AND(MONTH(M$4)='APA Inputs'!$B$18,M$5-1&gt;=YEAR('APA Inputs'!$B$6)),INDEX('APA Summary'!$B$47:$J$47,M$5-1-2025),0)</f>
        <v>0</v>
      </c>
      <c r="N21" s="409" t="n">
        <f aca="false">IF(AND(MONTH(N$4)='APA Inputs'!$B$18,N$5-1&gt;=YEAR('APA Inputs'!$B$6)),INDEX('APA Summary'!$B$47:$J$47,N$5-1-2025),0)</f>
        <v>0</v>
      </c>
      <c r="O21" s="409" t="n">
        <f aca="false">IF(AND(MONTH(O$4)='APA Inputs'!$B$18,O$5-1&gt;=YEAR('APA Inputs'!$B$6)),INDEX('APA Summary'!$B$47:$J$47,O$5-1-2025),0)</f>
        <v>0</v>
      </c>
      <c r="P21" s="409" t="n">
        <f aca="false">IF(AND(MONTH(P$4)='APA Inputs'!$B$18,P$5-1&gt;=YEAR('APA Inputs'!$B$6)),INDEX('APA Summary'!$B$47:$J$47,P$5-1-2025),0)</f>
        <v>915.383032999997</v>
      </c>
      <c r="Q21" s="409" t="n">
        <f aca="false">IF(AND(MONTH(Q$4)='APA Inputs'!$B$18,Q$5-1&gt;=YEAR('APA Inputs'!$B$6)),INDEX('APA Summary'!$B$47:$J$47,Q$5-1-2025),0)</f>
        <v>0</v>
      </c>
      <c r="R21" s="409" t="n">
        <f aca="false">IF(AND(MONTH(R$4)='APA Inputs'!$B$18,R$5-1&gt;=YEAR('APA Inputs'!$B$6)),INDEX('APA Summary'!$B$47:$J$47,R$5-1-2025),0)</f>
        <v>0</v>
      </c>
      <c r="S21" s="409" t="n">
        <f aca="false">IF(AND(MONTH(S$4)='APA Inputs'!$B$18,S$5-1&gt;=YEAR('APA Inputs'!$B$6)),INDEX('APA Summary'!$B$47:$J$47,S$5-1-2025),0)</f>
        <v>0</v>
      </c>
      <c r="T21" s="409" t="n">
        <f aca="false">IF(AND(MONTH(T$4)='APA Inputs'!$B$18,T$5-1&gt;=YEAR('APA Inputs'!$B$6)),INDEX('APA Summary'!$B$47:$J$47,T$5-1-2025),0)</f>
        <v>0</v>
      </c>
      <c r="U21" s="409" t="n">
        <f aca="false">IF(AND(MONTH(U$4)='APA Inputs'!$B$18,U$5-1&gt;=YEAR('APA Inputs'!$B$6)),INDEX('APA Summary'!$B$47:$J$47,U$5-1-2025),0)</f>
        <v>0</v>
      </c>
      <c r="V21" s="409" t="n">
        <f aca="false">IF(AND(MONTH(V$4)='APA Inputs'!$B$18,V$5-1&gt;=YEAR('APA Inputs'!$B$6)),INDEX('APA Summary'!$B$47:$J$47,V$5-1-2025),0)</f>
        <v>0</v>
      </c>
      <c r="W21" s="409" t="n">
        <f aca="false">IF(AND(MONTH(W$4)='APA Inputs'!$B$18,W$5-1&gt;=YEAR('APA Inputs'!$B$6)),INDEX('APA Summary'!$B$47:$J$47,W$5-1-2025),0)</f>
        <v>0</v>
      </c>
      <c r="X21" s="409" t="n">
        <f aca="false">IF(AND(MONTH(X$4)='APA Inputs'!$B$18,X$5-1&gt;=YEAR('APA Inputs'!$B$6)),INDEX('APA Summary'!$B$47:$J$47,X$5-1-2025),0)</f>
        <v>0</v>
      </c>
      <c r="Y21" s="409" t="n">
        <f aca="false">IF(AND(MONTH(Y$4)='APA Inputs'!$B$18,Y$5-1&gt;=YEAR('APA Inputs'!$B$6)),INDEX('APA Summary'!$B$47:$J$47,Y$5-1-2025),0)</f>
        <v>0</v>
      </c>
      <c r="Z21" s="409" t="n">
        <f aca="false">IF(AND(MONTH(Z$4)='APA Inputs'!$B$18,Z$5-1&gt;=YEAR('APA Inputs'!$B$6)),INDEX('APA Summary'!$B$47:$J$47,Z$5-1-2025),0)</f>
        <v>0</v>
      </c>
      <c r="AA21" s="409" t="n">
        <f aca="false">IF(AND(MONTH(AA$4)='APA Inputs'!$B$18,AA$5-1&gt;=YEAR('APA Inputs'!$B$6)),INDEX('APA Summary'!$B$47:$J$47,AA$5-1-2025),0)</f>
        <v>0</v>
      </c>
      <c r="AB21" s="409" t="n">
        <f aca="false">IF(AND(MONTH(AB$4)='APA Inputs'!$B$18,AB$5-1&gt;=YEAR('APA Inputs'!$B$6)),INDEX('APA Summary'!$B$47:$J$47,AB$5-1-2025),0)</f>
        <v>0</v>
      </c>
      <c r="AC21" s="409" t="n">
        <f aca="false">IF(AND(MONTH(AC$4)='APA Inputs'!$B$18,AC$5-1&gt;=YEAR('APA Inputs'!$B$6)),INDEX('APA Summary'!$B$47:$J$47,AC$5-1-2025),0)</f>
        <v>0</v>
      </c>
      <c r="AD21" s="409" t="n">
        <f aca="false">IF(AND(MONTH(AD$4)='APA Inputs'!$B$18,AD$5-1&gt;=YEAR('APA Inputs'!$B$6)),INDEX('APA Summary'!$B$47:$J$47,AD$5-1-2025),0)</f>
        <v>0</v>
      </c>
      <c r="AE21" s="409" t="n">
        <f aca="false">IF(AND(MONTH(AE$4)='APA Inputs'!$B$18,AE$5-1&gt;=YEAR('APA Inputs'!$B$6)),INDEX('APA Summary'!$B$47:$J$47,AE$5-1-2025),0)</f>
        <v>0</v>
      </c>
      <c r="AF21" s="409" t="n">
        <f aca="false">IF(AND(MONTH(AF$4)='APA Inputs'!$B$18,AF$5-1&gt;=YEAR('APA Inputs'!$B$6)),INDEX('APA Summary'!$B$47:$J$47,AF$5-1-2025),0)</f>
        <v>0</v>
      </c>
      <c r="AG21" s="409" t="n">
        <f aca="false">IF(AND(MONTH(AG$4)='APA Inputs'!$B$18,AG$5-1&gt;=YEAR('APA Inputs'!$B$6)),INDEX('APA Summary'!$B$47:$J$47,AG$5-1-2025),0)</f>
        <v>0</v>
      </c>
      <c r="AH21" s="409" t="n">
        <f aca="false">IF(AND(MONTH(AH$4)='APA Inputs'!$B$18,AH$5-1&gt;=YEAR('APA Inputs'!$B$6)),INDEX('APA Summary'!$B$47:$J$47,AH$5-1-2025),0)</f>
        <v>0</v>
      </c>
      <c r="AI21" s="409" t="n">
        <f aca="false">IF(AND(MONTH(AI$4)='APA Inputs'!$B$18,AI$5-1&gt;=YEAR('APA Inputs'!$B$6)),INDEX('APA Summary'!$B$47:$J$47,AI$5-1-2025),0)</f>
        <v>0</v>
      </c>
      <c r="AJ21" s="409" t="n">
        <f aca="false">IF(AND(MONTH(AJ$4)='APA Inputs'!$B$18,AJ$5-1&gt;=YEAR('APA Inputs'!$B$6)),INDEX('APA Summary'!$B$47:$J$47,AJ$5-1-2025),0)</f>
        <v>0</v>
      </c>
      <c r="AK21" s="409" t="n">
        <f aca="false">IF(AND(MONTH(AK$4)='APA Inputs'!$B$18,AK$5-1&gt;=YEAR('APA Inputs'!$B$6)),INDEX('APA Summary'!$B$47:$J$47,AK$5-1-2025),0)</f>
        <v>0</v>
      </c>
      <c r="AL21" s="409" t="n">
        <f aca="false">IF(AND(MONTH(AL$4)='APA Inputs'!$B$18,AL$5-1&gt;=YEAR('APA Inputs'!$B$6)),INDEX('APA Summary'!$B$47:$J$47,AL$5-1-2025),0)</f>
        <v>0</v>
      </c>
      <c r="AM21" s="409" t="n">
        <f aca="false">IF(AND(MONTH(AM$4)='APA Inputs'!$B$18,AM$5-1&gt;=YEAR('APA Inputs'!$B$6)),INDEX('APA Summary'!$B$47:$J$47,AM$5-1-2025),0)</f>
        <v>0</v>
      </c>
      <c r="AN21" s="409" t="n">
        <f aca="false">IF(AND(MONTH(AN$4)='APA Inputs'!$B$18,AN$5-1&gt;=YEAR('APA Inputs'!$B$6)),INDEX('APA Summary'!$B$47:$J$47,AN$5-1-2025),0)</f>
        <v>0</v>
      </c>
      <c r="AO21" s="409" t="n">
        <f aca="false">IF(AND(MONTH(AO$4)='APA Inputs'!$B$18,AO$5-1&gt;=YEAR('APA Inputs'!$B$6)),INDEX('APA Summary'!$B$47:$J$47,AO$5-1-2025),0)</f>
        <v>0</v>
      </c>
      <c r="AP21" s="409" t="n">
        <f aca="false">IF(AND(MONTH(AP$4)='APA Inputs'!$B$18,AP$5-1&gt;=YEAR('APA Inputs'!$B$6)),INDEX('APA Summary'!$B$47:$J$47,AP$5-1-2025),0)</f>
        <v>0</v>
      </c>
      <c r="AQ21" s="409" t="n">
        <f aca="false">IF(AND(MONTH(AQ$4)='APA Inputs'!$B$18,AQ$5-1&gt;=YEAR('APA Inputs'!$B$6)),INDEX('APA Summary'!$B$47:$J$47,AQ$5-1-2025),0)</f>
        <v>0</v>
      </c>
      <c r="AR21" s="409" t="n">
        <f aca="false">IF(AND(MONTH(AR$4)='APA Inputs'!$B$18,AR$5-1&gt;=YEAR('APA Inputs'!$B$6)),INDEX('APA Summary'!$B$47:$J$47,AR$5-1-2025),0)</f>
        <v>0</v>
      </c>
      <c r="AS21" s="409" t="n">
        <f aca="false">IF(AND(MONTH(AS$4)='APA Inputs'!$B$18,AS$5-1&gt;=YEAR('APA Inputs'!$B$6)),INDEX('APA Summary'!$B$47:$J$47,AS$5-1-2025),0)</f>
        <v>0</v>
      </c>
      <c r="AT21" s="409" t="n">
        <f aca="false">IF(AND(MONTH(AT$4)='APA Inputs'!$B$18,AT$5-1&gt;=YEAR('APA Inputs'!$B$6)),INDEX('APA Summary'!$B$47:$J$47,AT$5-1-2025),0)</f>
        <v>0</v>
      </c>
      <c r="AU21" s="409" t="n">
        <f aca="false">IF(AND(MONTH(AU$4)='APA Inputs'!$B$18,AU$5-1&gt;=YEAR('APA Inputs'!$B$6)),INDEX('APA Summary'!$B$47:$J$47,AU$5-1-2025),0)</f>
        <v>0</v>
      </c>
      <c r="AV21" s="409" t="n">
        <f aca="false">IF(AND(MONTH(AV$4)='APA Inputs'!$B$18,AV$5-1&gt;=YEAR('APA Inputs'!$B$6)),INDEX('APA Summary'!$B$47:$J$47,AV$5-1-2025),0)</f>
        <v>0</v>
      </c>
      <c r="AW21" s="409" t="n">
        <f aca="false">IF(AND(MONTH(AW$4)='APA Inputs'!$B$18,AW$5-1&gt;=YEAR('APA Inputs'!$B$6)),INDEX('APA Summary'!$B$47:$J$47,AW$5-1-2025),0)</f>
        <v>0</v>
      </c>
      <c r="AX21" s="409" t="n">
        <f aca="false">IF(AND(MONTH(AX$4)='APA Inputs'!$B$18,AX$5-1&gt;=YEAR('APA Inputs'!$B$6)),INDEX('APA Summary'!$B$47:$J$47,AX$5-1-2025),0)</f>
        <v>0</v>
      </c>
      <c r="AY21" s="409" t="n">
        <f aca="false">IF(AND(MONTH(AY$4)='APA Inputs'!$B$18,AY$5-1&gt;=YEAR('APA Inputs'!$B$6)),INDEX('APA Summary'!$B$47:$J$47,AY$5-1-2025),0)</f>
        <v>0</v>
      </c>
      <c r="AZ21" s="409" t="n">
        <f aca="false">IF(AND(MONTH(AZ$4)='APA Inputs'!$B$18,AZ$5-1&gt;=YEAR('APA Inputs'!$B$6)),INDEX('APA Summary'!$B$47:$J$47,AZ$5-1-2025),0)</f>
        <v>0</v>
      </c>
      <c r="BA21" s="409" t="n">
        <f aca="false">IF(AND(MONTH(BA$4)='APA Inputs'!$B$18,BA$5-1&gt;=YEAR('APA Inputs'!$B$6)),INDEX('APA Summary'!$B$47:$J$47,BA$5-1-2025),0)</f>
        <v>0</v>
      </c>
      <c r="BB21" s="409" t="n">
        <f aca="false">IF(AND(MONTH(BB$4)='APA Inputs'!$B$18,BB$5-1&gt;=YEAR('APA Inputs'!$B$6)),INDEX('APA Summary'!$B$47:$J$47,BB$5-1-2025),0)</f>
        <v>0</v>
      </c>
      <c r="BC21" s="409" t="n">
        <f aca="false">IF(AND(MONTH(BC$4)='APA Inputs'!$B$18,BC$5-1&gt;=YEAR('APA Inputs'!$B$6)),INDEX('APA Summary'!$B$47:$J$47,BC$5-1-2025),0)</f>
        <v>0</v>
      </c>
      <c r="BD21" s="409" t="n">
        <f aca="false">IF(AND(MONTH(BD$4)='APA Inputs'!$B$18,BD$5-1&gt;=YEAR('APA Inputs'!$B$6)),INDEX('APA Summary'!$B$47:$J$47,BD$5-1-2025),0)</f>
        <v>0</v>
      </c>
      <c r="BE21" s="409" t="n">
        <f aca="false">IF(AND(MONTH(BE$4)='APA Inputs'!$B$18,BE$5-1&gt;=YEAR('APA Inputs'!$B$6)),INDEX('APA Summary'!$B$47:$J$47,BE$5-1-2025),0)</f>
        <v>0</v>
      </c>
      <c r="BF21" s="409" t="n">
        <f aca="false">IF(AND(MONTH(BF$4)='APA Inputs'!$B$18,BF$5-1&gt;=YEAR('APA Inputs'!$B$6)),INDEX('APA Summary'!$B$47:$J$47,BF$5-1-2025),0)</f>
        <v>0</v>
      </c>
      <c r="BG21" s="409" t="n">
        <f aca="false">IF(AND(MONTH(BG$4)='APA Inputs'!$B$18,BG$5-1&gt;=YEAR('APA Inputs'!$B$6)),INDEX('APA Summary'!$B$47:$J$47,BG$5-1-2025),0)</f>
        <v>0</v>
      </c>
      <c r="BH21" s="409" t="n">
        <f aca="false">IF(AND(MONTH(BH$4)='APA Inputs'!$B$18,BH$5-1&gt;=YEAR('APA Inputs'!$B$6)),INDEX('APA Summary'!$B$47:$J$47,BH$5-1-2025),0)</f>
        <v>0</v>
      </c>
      <c r="BI21" s="409" t="n">
        <f aca="false">IF(AND(MONTH(BI$4)='APA Inputs'!$B$18,BI$5-1&gt;=YEAR('APA Inputs'!$B$6)),INDEX('APA Summary'!$B$47:$J$47,BI$5-1-2025),0)</f>
        <v>0</v>
      </c>
      <c r="BJ21" s="409" t="n">
        <f aca="false">IF(AND(MONTH(BJ$4)='APA Inputs'!$B$18,BJ$5-1&gt;=YEAR('APA Inputs'!$B$6)),INDEX('APA Summary'!$B$47:$J$47,BJ$5-1-2025),0)</f>
        <v>0</v>
      </c>
      <c r="BK21" s="409" t="n">
        <f aca="false">IF(AND(MONTH(BK$4)='APA Inputs'!$B$18,BK$5-1&gt;=YEAR('APA Inputs'!$B$6)),INDEX('APA Summary'!$B$47:$J$47,BK$5-1-2025),0)</f>
        <v>0</v>
      </c>
      <c r="BL21" s="409" t="n">
        <f aca="false">IF(AND(MONTH(BL$4)='APA Inputs'!$B$18,BL$5-1&gt;=YEAR('APA Inputs'!$B$6)),INDEX('APA Summary'!$B$47:$J$47,BL$5-1-2025),0)</f>
        <v>0</v>
      </c>
      <c r="BM21" s="409" t="n">
        <f aca="false">IF(AND(MONTH(BM$4)='APA Inputs'!$B$18,BM$5-1&gt;=YEAR('APA Inputs'!$B$6)),INDEX('APA Summary'!$B$47:$J$47,BM$5-1-2025),0)</f>
        <v>0</v>
      </c>
      <c r="BN21" s="409" t="n">
        <f aca="false">IF(AND(MONTH(BN$4)='APA Inputs'!$B$18,BN$5-1&gt;=YEAR('APA Inputs'!$B$6)),INDEX('APA Summary'!$B$47:$J$47,BN$5-1-2025),0)</f>
        <v>0</v>
      </c>
      <c r="BO21" s="409" t="n">
        <f aca="false">IF(AND(MONTH(BO$4)='APA Inputs'!$B$18,BO$5-1&gt;=YEAR('APA Inputs'!$B$6)),INDEX('APA Summary'!$B$47:$J$47,BO$5-1-2025),0)</f>
        <v>0</v>
      </c>
      <c r="BP21" s="409" t="n">
        <f aca="false">IF(AND(MONTH(BP$4)='APA Inputs'!$B$18,BP$5-1&gt;=YEAR('APA Inputs'!$B$6)),INDEX('APA Summary'!$B$47:$J$47,BP$5-1-2025),0)</f>
        <v>0</v>
      </c>
      <c r="BQ21" s="409" t="n">
        <f aca="false">IF(AND(MONTH(BQ$4)='APA Inputs'!$B$18,BQ$5-1&gt;=YEAR('APA Inputs'!$B$6)),INDEX('APA Summary'!$B$47:$J$47,BQ$5-1-2025),0)</f>
        <v>0</v>
      </c>
      <c r="BR21" s="409" t="n">
        <f aca="false">IF(AND(MONTH(BR$4)='APA Inputs'!$B$18,BR$5-1&gt;=YEAR('APA Inputs'!$B$6)),INDEX('APA Summary'!$B$47:$J$47,BR$5-1-2025),0)</f>
        <v>0</v>
      </c>
      <c r="BS21" s="409" t="n">
        <f aca="false">IF(AND(MONTH(BS$4)='APA Inputs'!$B$18,BS$5-1&gt;=YEAR('APA Inputs'!$B$6)),INDEX('APA Summary'!$B$47:$J$47,BS$5-1-2025),0)</f>
        <v>0</v>
      </c>
      <c r="BT21" s="409" t="n">
        <f aca="false">IF(AND(MONTH(BT$4)='APA Inputs'!$B$18,BT$5-1&gt;=YEAR('APA Inputs'!$B$6)),INDEX('APA Summary'!$B$47:$J$47,BT$5-1-2025),0)</f>
        <v>0</v>
      </c>
      <c r="BU21" s="409" t="n">
        <f aca="false">IF(AND(MONTH(BU$4)='APA Inputs'!$B$18,BU$5-1&gt;=YEAR('APA Inputs'!$B$6)),INDEX('APA Summary'!$B$47:$J$47,BU$5-1-2025),0)</f>
        <v>0</v>
      </c>
      <c r="BV21" s="409" t="n">
        <f aca="false">IF(AND(MONTH(BV$4)='APA Inputs'!$B$18,BV$5-1&gt;=YEAR('APA Inputs'!$B$6)),INDEX('APA Summary'!$B$47:$J$47,BV$5-1-2025),0)</f>
        <v>0</v>
      </c>
      <c r="BW21" s="409" t="n">
        <f aca="false">IF(AND(MONTH(BW$4)='APA Inputs'!$B$18,BW$5-1&gt;=YEAR('APA Inputs'!$B$6)),INDEX('APA Summary'!$B$47:$J$47,BW$5-1-2025),0)</f>
        <v>0</v>
      </c>
      <c r="BX21" s="409" t="n">
        <f aca="false">IF(AND(MONTH(BX$4)='APA Inputs'!$B$18,BX$5-1&gt;=YEAR('APA Inputs'!$B$6)),INDEX('APA Summary'!$B$47:$J$47,BX$5-1-2025),0)</f>
        <v>0</v>
      </c>
      <c r="BY21" s="409" t="n">
        <f aca="false">IF(AND(MONTH(BY$4)='APA Inputs'!$B$18,BY$5-1&gt;=YEAR('APA Inputs'!$B$6)),INDEX('APA Summary'!$B$47:$J$47,BY$5-1-2025),0)</f>
        <v>0</v>
      </c>
      <c r="BZ21" s="409" t="n">
        <f aca="false">IF(AND(MONTH(BZ$4)='APA Inputs'!$B$18,BZ$5-1&gt;=YEAR('APA Inputs'!$B$6)),INDEX('APA Summary'!$B$47:$J$47,BZ$5-1-2025),0)</f>
        <v>0</v>
      </c>
      <c r="CA21" s="409" t="n">
        <f aca="false">IF(AND(MONTH(CA$4)='APA Inputs'!$B$18,CA$5-1&gt;=YEAR('APA Inputs'!$B$6)),INDEX('APA Summary'!$B$47:$J$47,CA$5-1-2025),0)</f>
        <v>0</v>
      </c>
      <c r="CB21" s="409" t="n">
        <f aca="false">IF(AND(MONTH(CB$4)='APA Inputs'!$B$18,CB$5-1&gt;=YEAR('APA Inputs'!$B$6)),INDEX('APA Summary'!$B$47:$J$47,CB$5-1-2025),0)</f>
        <v>0</v>
      </c>
      <c r="CC21" s="409" t="n">
        <f aca="false">IF(AND(MONTH(CC$4)='APA Inputs'!$B$18,CC$5-1&gt;=YEAR('APA Inputs'!$B$6)),INDEX('APA Summary'!$B$47:$J$47,CC$5-1-2025),0)</f>
        <v>0</v>
      </c>
      <c r="CD21" s="409" t="n">
        <f aca="false">IF(AND(MONTH(CD$4)='APA Inputs'!$B$18,CD$5-1&gt;=YEAR('APA Inputs'!$B$6)),INDEX('APA Summary'!$B$47:$J$47,CD$5-1-2025),0)</f>
        <v>0</v>
      </c>
      <c r="CE21" s="409" t="n">
        <f aca="false">IF(AND(MONTH(CE$4)='APA Inputs'!$B$18,CE$5-1&gt;=YEAR('APA Inputs'!$B$6)),INDEX('APA Summary'!$B$47:$J$47,CE$5-1-2025),0)</f>
        <v>0</v>
      </c>
      <c r="CF21" s="409" t="n">
        <f aca="false">IF(AND(MONTH(CF$4)='APA Inputs'!$B$18,CF$5-1&gt;=YEAR('APA Inputs'!$B$6)),INDEX('APA Summary'!$B$47:$J$47,CF$5-1-2025),0)</f>
        <v>0</v>
      </c>
      <c r="CG21" s="409" t="n">
        <f aca="false">IF(AND(MONTH(CG$4)='APA Inputs'!$B$18,CG$5-1&gt;=YEAR('APA Inputs'!$B$6)),INDEX('APA Summary'!$B$47:$J$47,CG$5-1-2025),0)</f>
        <v>0</v>
      </c>
      <c r="CH21" s="409" t="n">
        <f aca="false">IF(AND(MONTH(CH$4)='APA Inputs'!$B$18,CH$5-1&gt;=YEAR('APA Inputs'!$B$6)),INDEX('APA Summary'!$B$47:$J$47,CH$5-1-2025),0)</f>
        <v>0</v>
      </c>
      <c r="CI21" s="409" t="n">
        <f aca="false">IF(AND(MONTH(CI$4)='APA Inputs'!$B$18,CI$5-1&gt;=YEAR('APA Inputs'!$B$6)),INDEX('APA Summary'!$B$47:$J$47,CI$5-1-2025),0)</f>
        <v>0</v>
      </c>
      <c r="CJ21" s="409" t="n">
        <f aca="false">IF(AND(MONTH(CJ$4)='APA Inputs'!$B$18,CJ$5-1&gt;=YEAR('APA Inputs'!$B$6)),INDEX('APA Summary'!$B$47:$J$47,CJ$5-1-2025),0)</f>
        <v>0</v>
      </c>
      <c r="CK21" s="409" t="n">
        <f aca="false">IF(AND(MONTH(CK$4)='APA Inputs'!$B$18,CK$5-1&gt;=YEAR('APA Inputs'!$B$6)),INDEX('APA Summary'!$B$47:$J$47,CK$5-1-2025),0)</f>
        <v>0</v>
      </c>
      <c r="CL21" s="409" t="n">
        <f aca="false">IF(AND(MONTH(CL$4)='APA Inputs'!$B$18,CL$5-1&gt;=YEAR('APA Inputs'!$B$6)),INDEX('APA Summary'!$B$47:$J$47,CL$5-1-2025),0)</f>
        <v>0</v>
      </c>
      <c r="CM21" s="409" t="n">
        <f aca="false">IF(AND(MONTH(CM$4)='APA Inputs'!$B$18,CM$5-1&gt;=YEAR('APA Inputs'!$B$6)),INDEX('APA Summary'!$B$47:$J$47,CM$5-1-2025),0)</f>
        <v>0</v>
      </c>
      <c r="CN21" s="409" t="n">
        <f aca="false">IF(AND(MONTH(CN$4)='APA Inputs'!$B$18,CN$5-1&gt;=YEAR('APA Inputs'!$B$6)),INDEX('APA Summary'!$B$47:$J$47,CN$5-1-2025),0)</f>
        <v>0</v>
      </c>
      <c r="CO21" s="409" t="n">
        <f aca="false">IF(AND(MONTH(CO$4)='APA Inputs'!$B$18,CO$5-1&gt;=YEAR('APA Inputs'!$B$6)),INDEX('APA Summary'!$B$47:$J$47,CO$5-1-2025),0)</f>
        <v>0</v>
      </c>
      <c r="CP21" s="409" t="n">
        <f aca="false">IF(AND(MONTH(CP$4)='APA Inputs'!$B$18,CP$5-1&gt;=YEAR('APA Inputs'!$B$6)),INDEX('APA Summary'!$B$47:$J$47,CP$5-1-2025),0)</f>
        <v>0</v>
      </c>
      <c r="CQ21" s="409" t="n">
        <f aca="false">IF(AND(MONTH(CQ$4)='APA Inputs'!$B$18,CQ$5-1&gt;=YEAR('APA Inputs'!$B$6)),INDEX('APA Summary'!$B$47:$J$47,CQ$5-1-2025),0)</f>
        <v>0</v>
      </c>
      <c r="CR21" s="409" t="n">
        <f aca="false">IF(AND(MONTH(CR$4)='APA Inputs'!$B$18,CR$5-1&gt;=YEAR('APA Inputs'!$B$6)),INDEX('APA Summary'!$B$47:$J$47,CR$5-1-2025),0)</f>
        <v>0</v>
      </c>
      <c r="CS21" s="409" t="n">
        <f aca="false">IF(AND(MONTH(CS$4)='APA Inputs'!$B$18,CS$5-1&gt;=YEAR('APA Inputs'!$B$6)),INDEX('APA Summary'!$B$47:$J$47,CS$5-1-2025),0)</f>
        <v>0</v>
      </c>
      <c r="CT21" s="409" t="n">
        <f aca="false">IF(AND(MONTH(CT$4)='APA Inputs'!$B$18,CT$5-1&gt;=YEAR('APA Inputs'!$B$6)),INDEX('APA Summary'!$B$47:$J$47,CT$5-1-2025),0)</f>
        <v>0</v>
      </c>
      <c r="CU21" s="409" t="n">
        <f aca="false">IF(AND(MONTH(CU$4)='APA Inputs'!$B$18,CU$5-1&gt;=YEAR('APA Inputs'!$B$6)),INDEX('APA Summary'!$B$47:$J$47,CU$5-1-2025),0)</f>
        <v>0</v>
      </c>
      <c r="CV21" s="409" t="n">
        <f aca="false">IF(AND(MONTH(CV$4)='APA Inputs'!$B$18,CV$5-1&gt;=YEAR('APA Inputs'!$B$6)),INDEX('APA Summary'!$B$47:$J$47,CV$5-1-2025),0)</f>
        <v>0</v>
      </c>
      <c r="CW21" s="409" t="n">
        <f aca="false">IF(AND(MONTH(CW$4)='APA Inputs'!$B$18,CW$5-1&gt;=YEAR('APA Inputs'!$B$6)),INDEX('APA Summary'!$B$47:$J$47,CW$5-1-2025),0)</f>
        <v>0</v>
      </c>
      <c r="CX21" s="409" t="n">
        <f aca="false">IF(AND(MONTH(CX$4)='APA Inputs'!$B$18,CX$5-1&gt;=YEAR('APA Inputs'!$B$6)),INDEX('APA Summary'!$B$47:$J$47,CX$5-1-2025),0)</f>
        <v>0</v>
      </c>
      <c r="CY21" s="409" t="n">
        <f aca="false">IF(AND(MONTH(CY$4)='APA Inputs'!$B$18,CY$5-1&gt;=YEAR('APA Inputs'!$B$6)),INDEX('APA Summary'!$B$47:$J$47,CY$5-1-2025),0)</f>
        <v>0</v>
      </c>
      <c r="CZ21" s="409" t="n">
        <f aca="false">IF(AND(MONTH(CZ$4)='APA Inputs'!$B$18,CZ$5-1&gt;=YEAR('APA Inputs'!$B$6)),INDEX('APA Summary'!$B$47:$J$47,CZ$5-1-2025),0)</f>
        <v>0</v>
      </c>
      <c r="DA21" s="409" t="n">
        <f aca="false">IF(AND(MONTH(DA$4)='APA Inputs'!$B$18,DA$5-1&gt;=YEAR('APA Inputs'!$B$6)),INDEX('APA Summary'!$B$47:$J$47,DA$5-1-2025),0)</f>
        <v>0</v>
      </c>
      <c r="DB21" s="409" t="n">
        <f aca="false">IF(AND(MONTH(DB$4)='APA Inputs'!$B$18,DB$5-1&gt;=YEAR('APA Inputs'!$B$6)),INDEX('APA Summary'!$B$47:$J$47,DB$5-1-2025),0)</f>
        <v>0</v>
      </c>
      <c r="DC21" s="409" t="n">
        <f aca="false">IF(AND(MONTH(DC$4)='APA Inputs'!$B$18,DC$5-1&gt;=YEAR('APA Inputs'!$B$6)),INDEX('APA Summary'!$B$47:$J$47,DC$5-1-2025),0)</f>
        <v>0</v>
      </c>
      <c r="DD21" s="409" t="n">
        <f aca="false">IF(AND(MONTH(DD$4)='APA Inputs'!$B$18,DD$5-1&gt;=YEAR('APA Inputs'!$B$6)),INDEX('APA Summary'!$B$47:$J$47,DD$5-1-2025),0)</f>
        <v>0</v>
      </c>
      <c r="DE21" s="409" t="n">
        <f aca="false">IF(AND(MONTH(DE$4)='APA Inputs'!$B$18,DE$5-1&gt;=YEAR('APA Inputs'!$B$6)),INDEX('APA Summary'!$B$47:$J$47,DE$5-1-2025),0)</f>
        <v>0</v>
      </c>
    </row>
    <row r="22" customFormat="false" ht="15" hidden="false" customHeight="true" outlineLevel="0" collapsed="false">
      <c r="A22" s="390" t="s">
        <v>1361</v>
      </c>
      <c r="B22" s="409" t="n">
        <f aca="false">B20+B21</f>
        <v>0</v>
      </c>
      <c r="C22" s="409" t="n">
        <f aca="false">C20+C21</f>
        <v>0</v>
      </c>
      <c r="D22" s="409" t="n">
        <f aca="false">D20+D21</f>
        <v>0</v>
      </c>
      <c r="E22" s="409" t="n">
        <f aca="false">E20+E21</f>
        <v>0</v>
      </c>
      <c r="F22" s="409" t="n">
        <f aca="false">F20+F21</f>
        <v>0</v>
      </c>
      <c r="G22" s="409" t="n">
        <f aca="false">G20+G21</f>
        <v>0</v>
      </c>
      <c r="H22" s="409" t="n">
        <f aca="false">H20+H21</f>
        <v>1108.06288333333</v>
      </c>
      <c r="I22" s="409" t="n">
        <f aca="false">I20+I21</f>
        <v>1108.06288333333</v>
      </c>
      <c r="J22" s="409" t="n">
        <f aca="false">J20+J21</f>
        <v>1108.06288333333</v>
      </c>
      <c r="K22" s="409" t="n">
        <f aca="false">K20+K21</f>
        <v>1108.06288333333</v>
      </c>
      <c r="L22" s="409" t="n">
        <f aca="false">L20+L21</f>
        <v>1108.06288333333</v>
      </c>
      <c r="M22" s="409" t="n">
        <f aca="false">M20+M21</f>
        <v>1108.06288333333</v>
      </c>
      <c r="N22" s="409" t="n">
        <f aca="false">N20+N21</f>
        <v>0</v>
      </c>
      <c r="O22" s="409" t="n">
        <f aca="false">O20+O21</f>
        <v>0</v>
      </c>
      <c r="P22" s="409" t="n">
        <f aca="false">P20+P21</f>
        <v>915.383032999997</v>
      </c>
      <c r="Q22" s="409" t="n">
        <f aca="false">Q20+Q21</f>
        <v>0</v>
      </c>
      <c r="R22" s="409" t="n">
        <f aca="false">R20+R21</f>
        <v>0</v>
      </c>
      <c r="S22" s="409" t="n">
        <f aca="false">S20+S21</f>
        <v>0</v>
      </c>
      <c r="T22" s="409" t="n">
        <f aca="false">T20+T21</f>
        <v>0</v>
      </c>
      <c r="U22" s="409" t="n">
        <f aca="false">U20+U21</f>
        <v>0</v>
      </c>
      <c r="V22" s="409" t="n">
        <f aca="false">V20+V21</f>
        <v>0</v>
      </c>
      <c r="W22" s="409" t="n">
        <f aca="false">W20+W21</f>
        <v>0</v>
      </c>
      <c r="X22" s="409" t="n">
        <f aca="false">X20+X21</f>
        <v>0</v>
      </c>
      <c r="Y22" s="409" t="n">
        <f aca="false">Y20+Y21</f>
        <v>0</v>
      </c>
      <c r="Z22" s="409" t="n">
        <f aca="false">Z20+Z21</f>
        <v>0</v>
      </c>
      <c r="AA22" s="409" t="n">
        <f aca="false">AA20+AA21</f>
        <v>0</v>
      </c>
      <c r="AB22" s="409" t="n">
        <f aca="false">AB20+AB21</f>
        <v>0</v>
      </c>
      <c r="AC22" s="409" t="n">
        <f aca="false">AC20+AC21</f>
        <v>0</v>
      </c>
      <c r="AD22" s="409" t="n">
        <f aca="false">AD20+AD21</f>
        <v>0</v>
      </c>
      <c r="AE22" s="409" t="n">
        <f aca="false">AE20+AE21</f>
        <v>0</v>
      </c>
      <c r="AF22" s="409" t="n">
        <f aca="false">AF20+AF21</f>
        <v>0</v>
      </c>
      <c r="AG22" s="409" t="n">
        <f aca="false">AG20+AG21</f>
        <v>0</v>
      </c>
      <c r="AH22" s="409" t="n">
        <f aca="false">AH20+AH21</f>
        <v>0</v>
      </c>
      <c r="AI22" s="409" t="n">
        <f aca="false">AI20+AI21</f>
        <v>0</v>
      </c>
      <c r="AJ22" s="409" t="n">
        <f aca="false">AJ20+AJ21</f>
        <v>0</v>
      </c>
      <c r="AK22" s="409" t="n">
        <f aca="false">AK20+AK21</f>
        <v>0</v>
      </c>
      <c r="AL22" s="409" t="n">
        <f aca="false">AL20+AL21</f>
        <v>0</v>
      </c>
      <c r="AM22" s="409" t="n">
        <f aca="false">AM20+AM21</f>
        <v>0</v>
      </c>
      <c r="AN22" s="409" t="n">
        <f aca="false">AN20+AN21</f>
        <v>0</v>
      </c>
      <c r="AO22" s="409" t="n">
        <f aca="false">AO20+AO21</f>
        <v>0</v>
      </c>
      <c r="AP22" s="409" t="n">
        <f aca="false">AP20+AP21</f>
        <v>0</v>
      </c>
      <c r="AQ22" s="409" t="n">
        <f aca="false">AQ20+AQ21</f>
        <v>0</v>
      </c>
      <c r="AR22" s="409" t="n">
        <f aca="false">AR20+AR21</f>
        <v>0</v>
      </c>
      <c r="AS22" s="409" t="n">
        <f aca="false">AS20+AS21</f>
        <v>0</v>
      </c>
      <c r="AT22" s="409" t="n">
        <f aca="false">AT20+AT21</f>
        <v>0</v>
      </c>
      <c r="AU22" s="409" t="n">
        <f aca="false">AU20+AU21</f>
        <v>0</v>
      </c>
      <c r="AV22" s="409" t="n">
        <f aca="false">AV20+AV21</f>
        <v>0</v>
      </c>
      <c r="AW22" s="409" t="n">
        <f aca="false">AW20+AW21</f>
        <v>0</v>
      </c>
      <c r="AX22" s="409" t="n">
        <f aca="false">AX20+AX21</f>
        <v>0</v>
      </c>
      <c r="AY22" s="409" t="n">
        <f aca="false">AY20+AY21</f>
        <v>0</v>
      </c>
      <c r="AZ22" s="409" t="n">
        <f aca="false">AZ20+AZ21</f>
        <v>0</v>
      </c>
      <c r="BA22" s="409" t="n">
        <f aca="false">BA20+BA21</f>
        <v>0</v>
      </c>
      <c r="BB22" s="409" t="n">
        <f aca="false">BB20+BB21</f>
        <v>0</v>
      </c>
      <c r="BC22" s="409" t="n">
        <f aca="false">BC20+BC21</f>
        <v>0</v>
      </c>
      <c r="BD22" s="409" t="n">
        <f aca="false">BD20+BD21</f>
        <v>0</v>
      </c>
      <c r="BE22" s="409" t="n">
        <f aca="false">BE20+BE21</f>
        <v>0</v>
      </c>
      <c r="BF22" s="409" t="n">
        <f aca="false">BF20+BF21</f>
        <v>0</v>
      </c>
      <c r="BG22" s="409" t="n">
        <f aca="false">BG20+BG21</f>
        <v>0</v>
      </c>
      <c r="BH22" s="409" t="n">
        <f aca="false">BH20+BH21</f>
        <v>0</v>
      </c>
      <c r="BI22" s="409" t="n">
        <f aca="false">BI20+BI21</f>
        <v>0</v>
      </c>
      <c r="BJ22" s="409" t="n">
        <f aca="false">BJ20+BJ21</f>
        <v>0</v>
      </c>
      <c r="BK22" s="409" t="n">
        <f aca="false">BK20+BK21</f>
        <v>0</v>
      </c>
      <c r="BL22" s="409" t="n">
        <f aca="false">BL20+BL21</f>
        <v>0</v>
      </c>
      <c r="BM22" s="409" t="n">
        <f aca="false">BM20+BM21</f>
        <v>0</v>
      </c>
      <c r="BN22" s="409" t="n">
        <f aca="false">BN20+BN21</f>
        <v>0</v>
      </c>
      <c r="BO22" s="409" t="n">
        <f aca="false">BO20+BO21</f>
        <v>0</v>
      </c>
      <c r="BP22" s="409" t="n">
        <f aca="false">BP20+BP21</f>
        <v>0</v>
      </c>
      <c r="BQ22" s="409" t="n">
        <f aca="false">BQ20+BQ21</f>
        <v>0</v>
      </c>
      <c r="BR22" s="409" t="n">
        <f aca="false">BR20+BR21</f>
        <v>0</v>
      </c>
      <c r="BS22" s="409" t="n">
        <f aca="false">BS20+BS21</f>
        <v>0</v>
      </c>
      <c r="BT22" s="409" t="n">
        <f aca="false">BT20+BT21</f>
        <v>0</v>
      </c>
      <c r="BU22" s="409" t="n">
        <f aca="false">BU20+BU21</f>
        <v>0</v>
      </c>
      <c r="BV22" s="409" t="n">
        <f aca="false">BV20+BV21</f>
        <v>0</v>
      </c>
      <c r="BW22" s="409" t="n">
        <f aca="false">BW20+BW21</f>
        <v>0</v>
      </c>
      <c r="BX22" s="409" t="n">
        <f aca="false">BX20+BX21</f>
        <v>0</v>
      </c>
      <c r="BY22" s="409" t="n">
        <f aca="false">BY20+BY21</f>
        <v>0</v>
      </c>
      <c r="BZ22" s="409" t="n">
        <f aca="false">BZ20+BZ21</f>
        <v>0</v>
      </c>
      <c r="CA22" s="409" t="n">
        <f aca="false">CA20+CA21</f>
        <v>0</v>
      </c>
      <c r="CB22" s="409" t="n">
        <f aca="false">CB20+CB21</f>
        <v>0</v>
      </c>
      <c r="CC22" s="409" t="n">
        <f aca="false">CC20+CC21</f>
        <v>0</v>
      </c>
      <c r="CD22" s="409" t="n">
        <f aca="false">CD20+CD21</f>
        <v>0</v>
      </c>
      <c r="CE22" s="409" t="n">
        <f aca="false">CE20+CE21</f>
        <v>0</v>
      </c>
      <c r="CF22" s="409" t="n">
        <f aca="false">CF20+CF21</f>
        <v>0</v>
      </c>
      <c r="CG22" s="409" t="n">
        <f aca="false">CG20+CG21</f>
        <v>0</v>
      </c>
      <c r="CH22" s="409" t="n">
        <f aca="false">CH20+CH21</f>
        <v>0</v>
      </c>
      <c r="CI22" s="409" t="n">
        <f aca="false">CI20+CI21</f>
        <v>0</v>
      </c>
      <c r="CJ22" s="409" t="n">
        <f aca="false">CJ20+CJ21</f>
        <v>0</v>
      </c>
      <c r="CK22" s="409" t="n">
        <f aca="false">CK20+CK21</f>
        <v>0</v>
      </c>
      <c r="CL22" s="409" t="n">
        <f aca="false">CL20+CL21</f>
        <v>0</v>
      </c>
      <c r="CM22" s="409" t="n">
        <f aca="false">CM20+CM21</f>
        <v>0</v>
      </c>
      <c r="CN22" s="409" t="n">
        <f aca="false">CN20+CN21</f>
        <v>0</v>
      </c>
      <c r="CO22" s="409" t="n">
        <f aca="false">CO20+CO21</f>
        <v>0</v>
      </c>
      <c r="CP22" s="409" t="n">
        <f aca="false">CP20+CP21</f>
        <v>0</v>
      </c>
      <c r="CQ22" s="409" t="n">
        <f aca="false">CQ20+CQ21</f>
        <v>0</v>
      </c>
      <c r="CR22" s="409" t="n">
        <f aca="false">CR20+CR21</f>
        <v>0</v>
      </c>
      <c r="CS22" s="409" t="n">
        <f aca="false">CS20+CS21</f>
        <v>0</v>
      </c>
      <c r="CT22" s="409" t="n">
        <f aca="false">CT20+CT21</f>
        <v>0</v>
      </c>
      <c r="CU22" s="409" t="n">
        <f aca="false">CU20+CU21</f>
        <v>0</v>
      </c>
      <c r="CV22" s="409" t="n">
        <f aca="false">CV20+CV21</f>
        <v>0</v>
      </c>
      <c r="CW22" s="409" t="n">
        <f aca="false">CW20+CW21</f>
        <v>0</v>
      </c>
      <c r="CX22" s="409" t="n">
        <f aca="false">CX20+CX21</f>
        <v>0</v>
      </c>
      <c r="CY22" s="409" t="n">
        <f aca="false">CY20+CY21</f>
        <v>0</v>
      </c>
      <c r="CZ22" s="409" t="n">
        <f aca="false">CZ20+CZ21</f>
        <v>0</v>
      </c>
      <c r="DA22" s="409" t="n">
        <f aca="false">DA20+DA21</f>
        <v>0</v>
      </c>
      <c r="DB22" s="409" t="n">
        <f aca="false">DB20+DB21</f>
        <v>0</v>
      </c>
      <c r="DC22" s="409" t="n">
        <f aca="false">DC20+DC21</f>
        <v>0</v>
      </c>
      <c r="DD22" s="409" t="n">
        <f aca="false">DD20+DD21</f>
        <v>0</v>
      </c>
      <c r="DE22" s="40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1362</v>
      </c>
    </row>
    <row r="2" customFormat="false" ht="15" hidden="false" customHeight="true" outlineLevel="0" collapsed="false">
      <c r="A2" s="389" t="s">
        <v>1363</v>
      </c>
    </row>
    <row r="20" customFormat="false" ht="15" hidden="false" customHeight="true" outlineLevel="0" collapsed="false">
      <c r="A20" s="392" t="s">
        <v>1364</v>
      </c>
      <c r="B20" s="392" t="s">
        <v>1365</v>
      </c>
      <c r="C20" s="392" t="s">
        <v>1366</v>
      </c>
      <c r="D20" s="392" t="s">
        <v>1367</v>
      </c>
      <c r="E20" s="392" t="s">
        <v>1368</v>
      </c>
      <c r="F20" s="392" t="s">
        <v>1369</v>
      </c>
      <c r="G20" s="392" t="s">
        <v>1370</v>
      </c>
      <c r="H20" s="392" t="s">
        <v>1371</v>
      </c>
      <c r="I20" s="392" t="s">
        <v>1372</v>
      </c>
      <c r="J20" s="392" t="s">
        <v>1373</v>
      </c>
      <c r="K20" s="392" t="s">
        <v>487</v>
      </c>
    </row>
    <row r="21" customFormat="false" ht="15" hidden="false" customHeight="true" outlineLevel="0" collapsed="false">
      <c r="A21" s="393" t="s">
        <v>1374</v>
      </c>
      <c r="B21" s="400" t="n">
        <v>2026</v>
      </c>
      <c r="C21" s="410" t="n">
        <f aca="false">B21+1</f>
        <v>2027</v>
      </c>
      <c r="D21" s="410" t="n">
        <f aca="false">C21+1</f>
        <v>2028</v>
      </c>
      <c r="E21" s="410" t="n">
        <f aca="false">D21+1</f>
        <v>2029</v>
      </c>
      <c r="F21" s="410" t="n">
        <f aca="false">E21+1</f>
        <v>2030</v>
      </c>
      <c r="G21" s="410" t="n">
        <f aca="false">F21+1</f>
        <v>2031</v>
      </c>
      <c r="H21" s="410" t="n">
        <f aca="false">G21+1</f>
        <v>2032</v>
      </c>
      <c r="I21" s="410" t="n">
        <f aca="false">H21+1</f>
        <v>2033</v>
      </c>
      <c r="J21" s="410" t="n">
        <f aca="false">I21+1</f>
        <v>2034</v>
      </c>
      <c r="K21" s="411"/>
    </row>
    <row r="22" customFormat="false" ht="15" hidden="false" customHeight="true" outlineLevel="0" collapsed="false">
      <c r="A22" s="393" t="s">
        <v>1375</v>
      </c>
      <c r="B22" s="410" t="n">
        <f aca="false">IF(B21=YEAR('APA Inputs'!$B$6),13-MONTH('APA Inputs'!$B$6),IF(B21&lt;YEAR('APA Inputs'!$B$6),0,12))</f>
        <v>6</v>
      </c>
      <c r="C22" s="410" t="n">
        <f aca="false">IF(C21=YEAR('APA Inputs'!$B$6),13-MONTH('APA Inputs'!$B$6),IF(C21&lt;YEAR('APA Inputs'!$B$6),0,12))</f>
        <v>12</v>
      </c>
      <c r="D22" s="410" t="n">
        <f aca="false">IF(D21=YEAR('APA Inputs'!$B$6),13-MONTH('APA Inputs'!$B$6),IF(D21&lt;YEAR('APA Inputs'!$B$6),0,12))</f>
        <v>12</v>
      </c>
      <c r="E22" s="410" t="n">
        <f aca="false">IF(E21=YEAR('APA Inputs'!$B$6),13-MONTH('APA Inputs'!$B$6),IF(E21&lt;YEAR('APA Inputs'!$B$6),0,12))</f>
        <v>12</v>
      </c>
      <c r="F22" s="410" t="n">
        <f aca="false">IF(F21=YEAR('APA Inputs'!$B$6),13-MONTH('APA Inputs'!$B$6),IF(F21&lt;YEAR('APA Inputs'!$B$6),0,12))</f>
        <v>12</v>
      </c>
      <c r="G22" s="410" t="n">
        <f aca="false">IF(G21=YEAR('APA Inputs'!$B$6),13-MONTH('APA Inputs'!$B$6),IF(G21&lt;YEAR('APA Inputs'!$B$6),0,12))</f>
        <v>12</v>
      </c>
      <c r="H22" s="410" t="n">
        <f aca="false">IF(H21=YEAR('APA Inputs'!$B$6),13-MONTH('APA Inputs'!$B$6),IF(H21&lt;YEAR('APA Inputs'!$B$6),0,12))</f>
        <v>12</v>
      </c>
      <c r="I22" s="410" t="n">
        <f aca="false">IF(I21=YEAR('APA Inputs'!$B$6),13-MONTH('APA Inputs'!$B$6),IF(I21&lt;YEAR('APA Inputs'!$B$6),0,12))</f>
        <v>12</v>
      </c>
      <c r="J22" s="410" t="n">
        <f aca="false">IF(J21=YEAR('APA Inputs'!$B$6),13-MONTH('APA Inputs'!$B$6),IF(J21&lt;YEAR('APA Inputs'!$B$6),0,12))</f>
        <v>12</v>
      </c>
      <c r="K22" s="411"/>
    </row>
    <row r="23" customFormat="false" ht="15" hidden="false" customHeight="true" outlineLevel="0" collapsed="false">
      <c r="A23" s="401" t="s">
        <v>1376</v>
      </c>
      <c r="B23" s="412" t="n">
        <f aca="false">SUMIF('APA Schedule'!$B$5:$DE$5,B21,'APA Schedule'!$B$17:$DE$17)</f>
        <v>103914.18</v>
      </c>
      <c r="C23" s="412" t="n">
        <f aca="false">SUMIF('APA Schedule'!$B$5:$DE$5,C21,'APA Schedule'!$B$17:$DE$17)</f>
        <v>172240.34</v>
      </c>
      <c r="D23" s="412" t="n">
        <f aca="false">SUMIF('APA Schedule'!$B$5:$DE$5,D21,'APA Schedule'!$B$17:$DE$17)</f>
        <v>54162.62</v>
      </c>
      <c r="E23" s="412" t="n">
        <f aca="false">SUMIF('APA Schedule'!$B$5:$DE$5,E21,'APA Schedule'!$B$17:$DE$17)</f>
        <v>0</v>
      </c>
      <c r="F23" s="412" t="n">
        <f aca="false">SUMIF('APA Schedule'!$B$5:$DE$5,F21,'APA Schedule'!$B$17:$DE$17)</f>
        <v>0</v>
      </c>
      <c r="G23" s="412" t="n">
        <f aca="false">SUMIF('APA Schedule'!$B$5:$DE$5,G21,'APA Schedule'!$B$17:$DE$17)</f>
        <v>0</v>
      </c>
      <c r="H23" s="412" t="n">
        <f aca="false">SUMIF('APA Schedule'!$B$5:$DE$5,H21,'APA Schedule'!$B$17:$DE$17)</f>
        <v>0</v>
      </c>
      <c r="I23" s="412" t="n">
        <f aca="false">SUMIF('APA Schedule'!$B$5:$DE$5,I21,'APA Schedule'!$B$17:$DE$17)</f>
        <v>0</v>
      </c>
      <c r="J23" s="412" t="n">
        <f aca="false">SUMIF('APA Schedule'!$B$5:$DE$5,J21,'APA Schedule'!$B$17:$DE$17)</f>
        <v>0</v>
      </c>
      <c r="K23" s="413" t="n">
        <f aca="false">SUM(B23:J23)</f>
        <v>330317.14</v>
      </c>
    </row>
    <row r="24" customFormat="false" ht="15" hidden="false" customHeight="true" outlineLevel="0" collapsed="false">
      <c r="A24" s="414" t="s">
        <v>1377</v>
      </c>
      <c r="B24" s="411"/>
      <c r="C24" s="411"/>
      <c r="D24" s="411"/>
      <c r="E24" s="411"/>
      <c r="F24" s="411"/>
      <c r="G24" s="411"/>
      <c r="H24" s="411"/>
      <c r="I24" s="411"/>
      <c r="J24" s="411"/>
      <c r="K24" s="411"/>
    </row>
    <row r="25" customFormat="false" ht="15" hidden="false" customHeight="true" outlineLevel="0" collapsed="false">
      <c r="A25" s="393" t="s">
        <v>1378</v>
      </c>
      <c r="B25" s="405" t="n">
        <f aca="false">'APA Inputs'!$B$10*(1+'APA Inputs'!$B$11)^MAX(0,B21-$C$21)*B22/12</f>
        <v>12500</v>
      </c>
      <c r="C25" s="405" t="n">
        <f aca="false">'APA Inputs'!$B$10*(1+'APA Inputs'!$B$11)^MAX(0,C21-$C$21)*C22/12</f>
        <v>25000</v>
      </c>
      <c r="D25" s="405" t="n">
        <f aca="false">'APA Inputs'!$B$10*(1+'APA Inputs'!$B$11)^MAX(0,D21-$C$21)*D22/12</f>
        <v>25750</v>
      </c>
      <c r="E25" s="405" t="n">
        <f aca="false">'APA Inputs'!$B$10*(1+'APA Inputs'!$B$11)^MAX(0,E21-$C$21)*E22/12</f>
        <v>26522.5</v>
      </c>
      <c r="F25" s="405" t="n">
        <f aca="false">'APA Inputs'!$B$10*(1+'APA Inputs'!$B$11)^MAX(0,F21-$C$21)*F22/12</f>
        <v>27318.175</v>
      </c>
      <c r="G25" s="405" t="n">
        <f aca="false">'APA Inputs'!$B$10*(1+'APA Inputs'!$B$11)^MAX(0,G21-$C$21)*G22/12</f>
        <v>28137.72025</v>
      </c>
      <c r="H25" s="405" t="n">
        <f aca="false">'APA Inputs'!$B$10*(1+'APA Inputs'!$B$11)^MAX(0,H21-$C$21)*H22/12</f>
        <v>28981.8518575</v>
      </c>
      <c r="I25" s="405" t="n">
        <f aca="false">'APA Inputs'!$B$10*(1+'APA Inputs'!$B$11)^MAX(0,I21-$C$21)*I22/12</f>
        <v>29851.307413225</v>
      </c>
      <c r="J25" s="405" t="n">
        <f aca="false">'APA Inputs'!$B$10*(1+'APA Inputs'!$B$11)^MAX(0,J21-$C$21)*J22/12</f>
        <v>30746.8466356218</v>
      </c>
      <c r="K25" s="413" t="n">
        <f aca="false">SUM(B25:J25)</f>
        <v>234808.401156347</v>
      </c>
    </row>
    <row r="26" customFormat="false" ht="15" hidden="false" customHeight="true" outlineLevel="0" collapsed="false">
      <c r="A26" s="401" t="s">
        <v>1379</v>
      </c>
      <c r="B26" s="413" t="n">
        <f aca="false">B23-B25</f>
        <v>91414.18</v>
      </c>
      <c r="C26" s="413" t="n">
        <f aca="false">C23-C25</f>
        <v>147240.34</v>
      </c>
      <c r="D26" s="413" t="n">
        <f aca="false">D23-D25</f>
        <v>28412.62</v>
      </c>
      <c r="E26" s="413" t="n">
        <f aca="false">E23-E25</f>
        <v>-26522.5</v>
      </c>
      <c r="F26" s="413" t="n">
        <f aca="false">F23-F25</f>
        <v>-27318.175</v>
      </c>
      <c r="G26" s="413" t="n">
        <f aca="false">G23-G25</f>
        <v>-28137.72025</v>
      </c>
      <c r="H26" s="413" t="n">
        <f aca="false">H23-H25</f>
        <v>-28981.8518575</v>
      </c>
      <c r="I26" s="413" t="n">
        <f aca="false">I23-I25</f>
        <v>-29851.307413225</v>
      </c>
      <c r="J26" s="413" t="n">
        <f aca="false">J23-J25</f>
        <v>-30746.8466356218</v>
      </c>
      <c r="K26" s="413" t="n">
        <f aca="false">SUM(B26:J26)</f>
        <v>95508.7388436532</v>
      </c>
    </row>
    <row r="27" customFormat="false" ht="15" hidden="false" customHeight="true" outlineLevel="0" collapsed="false">
      <c r="A27" s="414" t="s">
        <v>1380</v>
      </c>
      <c r="B27" s="411"/>
      <c r="C27" s="411"/>
      <c r="D27" s="411"/>
      <c r="E27" s="411"/>
      <c r="F27" s="411"/>
      <c r="G27" s="411"/>
      <c r="H27" s="411"/>
      <c r="I27" s="411"/>
      <c r="J27" s="411"/>
      <c r="K27" s="411"/>
    </row>
    <row r="28" customFormat="false" ht="15" hidden="false" customHeight="true" outlineLevel="0" collapsed="false">
      <c r="A28" s="393" t="s">
        <v>1381</v>
      </c>
      <c r="B28" s="410" t="n">
        <f aca="false">MAX(0,MIN(B22,(B21-YEAR('APA Inputs'!$B$9))*12+13-MONTH('APA Inputs'!$B$9)))</f>
        <v>0</v>
      </c>
      <c r="C28" s="410" t="n">
        <f aca="false">MAX(0,MIN(C22,(C21-YEAR('APA Inputs'!$B$9))*12+13-MONTH('APA Inputs'!$B$9)))</f>
        <v>0</v>
      </c>
      <c r="D28" s="410" t="n">
        <f aca="false">MAX(0,MIN(D22,(D21-YEAR('APA Inputs'!$B$9))*12+13-MONTH('APA Inputs'!$B$9)))</f>
        <v>0</v>
      </c>
      <c r="E28" s="410" t="n">
        <f aca="false">MAX(0,MIN(E22,(E21-YEAR('APA Inputs'!$B$9))*12+13-MONTH('APA Inputs'!$B$9)))</f>
        <v>0</v>
      </c>
      <c r="F28" s="410" t="n">
        <f aca="false">MAX(0,MIN(F22,(F21-YEAR('APA Inputs'!$B$9))*12+13-MONTH('APA Inputs'!$B$9)))</f>
        <v>0</v>
      </c>
      <c r="G28" s="410" t="n">
        <f aca="false">MAX(0,MIN(G22,(G21-YEAR('APA Inputs'!$B$9))*12+13-MONTH('APA Inputs'!$B$9)))</f>
        <v>0</v>
      </c>
      <c r="H28" s="410" t="n">
        <f aca="false">MAX(0,MIN(H22,(H21-YEAR('APA Inputs'!$B$9))*12+13-MONTH('APA Inputs'!$B$9)))</f>
        <v>0</v>
      </c>
      <c r="I28" s="410" t="n">
        <f aca="false">MAX(0,MIN(I22,(I21-YEAR('APA Inputs'!$B$9))*12+13-MONTH('APA Inputs'!$B$9)))</f>
        <v>0</v>
      </c>
      <c r="J28" s="410" t="n">
        <f aca="false">MAX(0,MIN(J22,(J21-YEAR('APA Inputs'!$B$9))*12+13-MONTH('APA Inputs'!$B$9)))</f>
        <v>0</v>
      </c>
      <c r="K28" s="411"/>
    </row>
    <row r="29" customFormat="false" ht="15" hidden="false" customHeight="true" outlineLevel="0" collapsed="false">
      <c r="A29" s="393" t="s">
        <v>1382</v>
      </c>
      <c r="B29" s="405" t="n">
        <f aca="false">(B22-B28)/12*'APA Inputs'!$B$7+B28/12*'APA Inputs'!$B$8</f>
        <v>75000</v>
      </c>
      <c r="C29" s="405" t="n">
        <f aca="false">(C22-C28)/12*'APA Inputs'!$B$7+C28/12*'APA Inputs'!$B$8</f>
        <v>150000</v>
      </c>
      <c r="D29" s="405" t="n">
        <f aca="false">(D22-D28)/12*'APA Inputs'!$B$7+D28/12*'APA Inputs'!$B$8</f>
        <v>150000</v>
      </c>
      <c r="E29" s="405" t="n">
        <f aca="false">(E22-E28)/12*'APA Inputs'!$B$7+E28/12*'APA Inputs'!$B$8</f>
        <v>150000</v>
      </c>
      <c r="F29" s="405" t="n">
        <f aca="false">(F22-F28)/12*'APA Inputs'!$B$7+F28/12*'APA Inputs'!$B$8</f>
        <v>150000</v>
      </c>
      <c r="G29" s="405" t="n">
        <f aca="false">(G22-G28)/12*'APA Inputs'!$B$7+G28/12*'APA Inputs'!$B$8</f>
        <v>150000</v>
      </c>
      <c r="H29" s="405" t="n">
        <f aca="false">(H22-H28)/12*'APA Inputs'!$B$7+H28/12*'APA Inputs'!$B$8</f>
        <v>150000</v>
      </c>
      <c r="I29" s="405" t="n">
        <f aca="false">(I22-I28)/12*'APA Inputs'!$B$7+I28/12*'APA Inputs'!$B$8</f>
        <v>150000</v>
      </c>
      <c r="J29" s="405" t="n">
        <f aca="false">(J22-J28)/12*'APA Inputs'!$B$7+J28/12*'APA Inputs'!$B$8</f>
        <v>150000</v>
      </c>
      <c r="K29" s="413" t="n">
        <f aca="false">SUM(B29:J29)</f>
        <v>1275000</v>
      </c>
    </row>
    <row r="30" customFormat="false" ht="15" hidden="false" customHeight="true" outlineLevel="0" collapsed="false">
      <c r="A30" s="393" t="s">
        <v>1383</v>
      </c>
      <c r="B30" s="405" t="n">
        <f aca="false">MAX(0,B26-B29-B23*'APA Inputs'!$B$12)</f>
        <v>13296.7546</v>
      </c>
      <c r="C30" s="405" t="n">
        <f aca="false">MAX(0,C26-C29-C23*'APA Inputs'!$B$12)</f>
        <v>0</v>
      </c>
      <c r="D30" s="405" t="n">
        <f aca="false">MAX(0,D26-D29-D23*'APA Inputs'!$B$12)</f>
        <v>0</v>
      </c>
      <c r="E30" s="405" t="n">
        <f aca="false">MAX(0,E26-E29-E23*'APA Inputs'!$B$12)</f>
        <v>0</v>
      </c>
      <c r="F30" s="405" t="n">
        <f aca="false">MAX(0,F26-F29-F23*'APA Inputs'!$B$12)</f>
        <v>0</v>
      </c>
      <c r="G30" s="405" t="n">
        <f aca="false">MAX(0,G26-G29-G23*'APA Inputs'!$B$12)</f>
        <v>0</v>
      </c>
      <c r="H30" s="405" t="n">
        <f aca="false">MAX(0,H26-H29-H23*'APA Inputs'!$B$12)</f>
        <v>0</v>
      </c>
      <c r="I30" s="405" t="n">
        <f aca="false">MAX(0,I26-I29-I23*'APA Inputs'!$B$12)</f>
        <v>0</v>
      </c>
      <c r="J30" s="405" t="n">
        <f aca="false">MAX(0,J26-J29-J23*'APA Inputs'!$B$12)</f>
        <v>0</v>
      </c>
      <c r="K30" s="413" t="n">
        <f aca="false">SUM(B30:J30)</f>
        <v>13296.7546</v>
      </c>
    </row>
    <row r="31" customFormat="false" ht="15" hidden="false" customHeight="true" outlineLevel="0" collapsed="false">
      <c r="A31" s="393" t="s">
        <v>1384</v>
      </c>
      <c r="B31" s="405" t="n">
        <f aca="false">B30*'APA Inputs'!$B$13</f>
        <v>6648.3773</v>
      </c>
      <c r="C31" s="405" t="n">
        <f aca="false">C30*'APA Inputs'!$B$13</f>
        <v>0</v>
      </c>
      <c r="D31" s="405" t="n">
        <f aca="false">D30*'APA Inputs'!$B$13</f>
        <v>0</v>
      </c>
      <c r="E31" s="405" t="n">
        <f aca="false">E30*'APA Inputs'!$B$13</f>
        <v>0</v>
      </c>
      <c r="F31" s="405" t="n">
        <f aca="false">F30*'APA Inputs'!$B$13</f>
        <v>0</v>
      </c>
      <c r="G31" s="405" t="n">
        <f aca="false">G30*'APA Inputs'!$B$13</f>
        <v>0</v>
      </c>
      <c r="H31" s="405" t="n">
        <f aca="false">H30*'APA Inputs'!$B$13</f>
        <v>0</v>
      </c>
      <c r="I31" s="405" t="n">
        <f aca="false">I30*'APA Inputs'!$B$13</f>
        <v>0</v>
      </c>
      <c r="J31" s="405" t="n">
        <f aca="false">J30*'APA Inputs'!$B$13</f>
        <v>0</v>
      </c>
      <c r="K31" s="413" t="n">
        <f aca="false">SUM(B31:J31)</f>
        <v>6648.3773</v>
      </c>
    </row>
    <row r="32" customFormat="false" ht="15" hidden="false" customHeight="true" outlineLevel="0" collapsed="false">
      <c r="A32" s="393" t="s">
        <v>1385</v>
      </c>
      <c r="B32" s="405" t="n">
        <f aca="false">B30*(1-'APA Inputs'!$B$13)</f>
        <v>6648.3773</v>
      </c>
      <c r="C32" s="405" t="n">
        <f aca="false">C30*(1-'APA Inputs'!$B$13)</f>
        <v>0</v>
      </c>
      <c r="D32" s="405" t="n">
        <f aca="false">D30*(1-'APA Inputs'!$B$13)</f>
        <v>0</v>
      </c>
      <c r="E32" s="405" t="n">
        <f aca="false">E30*(1-'APA Inputs'!$B$13)</f>
        <v>0</v>
      </c>
      <c r="F32" s="405" t="n">
        <f aca="false">F30*(1-'APA Inputs'!$B$13)</f>
        <v>0</v>
      </c>
      <c r="G32" s="405" t="n">
        <f aca="false">G30*(1-'APA Inputs'!$B$13)</f>
        <v>0</v>
      </c>
      <c r="H32" s="405" t="n">
        <f aca="false">H30*(1-'APA Inputs'!$B$13)</f>
        <v>0</v>
      </c>
      <c r="I32" s="405" t="n">
        <f aca="false">I30*(1-'APA Inputs'!$B$13)</f>
        <v>0</v>
      </c>
      <c r="J32" s="405" t="n">
        <f aca="false">J30*(1-'APA Inputs'!$B$13)</f>
        <v>0</v>
      </c>
      <c r="K32" s="413" t="n">
        <f aca="false">SUM(B32:J32)</f>
        <v>6648.3773</v>
      </c>
    </row>
    <row r="33" customFormat="false" ht="15" hidden="false" customHeight="true" outlineLevel="0" collapsed="false">
      <c r="A33" s="415" t="s">
        <v>1386</v>
      </c>
      <c r="B33" s="416" t="n">
        <f aca="false">B29+B31+B32</f>
        <v>88296.7546</v>
      </c>
      <c r="C33" s="416" t="n">
        <f aca="false">C29+C31+C32</f>
        <v>150000</v>
      </c>
      <c r="D33" s="416" t="n">
        <f aca="false">D29+D31+D32</f>
        <v>150000</v>
      </c>
      <c r="E33" s="416" t="n">
        <f aca="false">E29+E31+E32</f>
        <v>150000</v>
      </c>
      <c r="F33" s="416" t="n">
        <f aca="false">F29+F31+F32</f>
        <v>150000</v>
      </c>
      <c r="G33" s="416" t="n">
        <f aca="false">G29+G31+G32</f>
        <v>150000</v>
      </c>
      <c r="H33" s="416" t="n">
        <f aca="false">H29+H31+H32</f>
        <v>150000</v>
      </c>
      <c r="I33" s="416" t="n">
        <f aca="false">I29+I31+I32</f>
        <v>150000</v>
      </c>
      <c r="J33" s="416" t="n">
        <f aca="false">J29+J31+J32</f>
        <v>150000</v>
      </c>
      <c r="K33" s="413" t="n">
        <f aca="false">SUM(B33:J33)</f>
        <v>1288296.7546</v>
      </c>
    </row>
    <row r="34" customFormat="false" ht="15" hidden="false" customHeight="true" outlineLevel="0" collapsed="false">
      <c r="A34" s="393" t="s">
        <v>1387</v>
      </c>
      <c r="B34" s="417" t="n">
        <f aca="false">IF(B23=0,0,B33/B23)</f>
        <v>0.849708428628316</v>
      </c>
      <c r="C34" s="417" t="n">
        <f aca="false">IF(C23=0,0,C33/C23)</f>
        <v>0.870876125767053</v>
      </c>
      <c r="D34" s="417" t="n">
        <f aca="false">IF(D23=0,0,D33/D23)</f>
        <v>2.7694376675279</v>
      </c>
      <c r="E34" s="417" t="n">
        <f aca="false">IF(E23=0,0,E33/E23)</f>
        <v>0</v>
      </c>
      <c r="F34" s="417" t="n">
        <f aca="false">IF(F23=0,0,F33/F23)</f>
        <v>0</v>
      </c>
      <c r="G34" s="417" t="n">
        <f aca="false">IF(G23=0,0,G33/G23)</f>
        <v>0</v>
      </c>
      <c r="H34" s="417" t="n">
        <f aca="false">IF(H23=0,0,H33/H23)</f>
        <v>0</v>
      </c>
      <c r="I34" s="417" t="n">
        <f aca="false">IF(I23=0,0,I33/I23)</f>
        <v>0</v>
      </c>
      <c r="J34" s="417" t="n">
        <f aca="false">IF(J23=0,0,J33/J23)</f>
        <v>0</v>
      </c>
      <c r="K34" s="411"/>
    </row>
    <row r="35" customFormat="false" ht="15" hidden="false" customHeight="true" outlineLevel="0" collapsed="false">
      <c r="A35" s="414" t="s">
        <v>1388</v>
      </c>
      <c r="B35" s="411"/>
      <c r="C35" s="411"/>
      <c r="D35" s="411"/>
      <c r="E35" s="411"/>
      <c r="F35" s="411"/>
      <c r="G35" s="411"/>
      <c r="H35" s="411"/>
      <c r="I35" s="411"/>
      <c r="J35" s="411"/>
      <c r="K35" s="411"/>
    </row>
    <row r="36" customFormat="false" ht="15" hidden="false" customHeight="true" outlineLevel="0" collapsed="false">
      <c r="A36" s="393" t="s">
        <v>1389</v>
      </c>
      <c r="B36" s="405" t="n">
        <f aca="false">B26-B33</f>
        <v>3117.42539999999</v>
      </c>
      <c r="C36" s="405" t="n">
        <f aca="false">C26-C33</f>
        <v>-2759.66</v>
      </c>
      <c r="D36" s="405" t="n">
        <f aca="false">D26-D33</f>
        <v>-121587.38</v>
      </c>
      <c r="E36" s="405" t="n">
        <f aca="false">E26-E33</f>
        <v>-176522.5</v>
      </c>
      <c r="F36" s="405" t="n">
        <f aca="false">F26-F33</f>
        <v>-177318.175</v>
      </c>
      <c r="G36" s="405" t="n">
        <f aca="false">G26-G33</f>
        <v>-178137.72025</v>
      </c>
      <c r="H36" s="405" t="n">
        <f aca="false">H26-H33</f>
        <v>-178981.8518575</v>
      </c>
      <c r="I36" s="405" t="n">
        <f aca="false">I26-I33</f>
        <v>-179851.307413225</v>
      </c>
      <c r="J36" s="405" t="n">
        <f aca="false">J26-J33</f>
        <v>-180746.846635622</v>
      </c>
      <c r="K36" s="413" t="n">
        <f aca="false">SUM(B36:J36)</f>
        <v>-1192788.01575635</v>
      </c>
    </row>
    <row r="37" customFormat="false" ht="15" hidden="false" customHeight="true" outlineLevel="0" collapsed="false">
      <c r="A37" s="393" t="s">
        <v>1390</v>
      </c>
      <c r="B37" s="405" t="n">
        <f aca="false">MAX('APA Inputs'!$B$17,MAX(0,B36)*'APA Inputs'!$B$16)</f>
        <v>800</v>
      </c>
      <c r="C37" s="405" t="n">
        <f aca="false">MAX('APA Inputs'!$B$17,MAX(0,C36)*'APA Inputs'!$B$16)</f>
        <v>800</v>
      </c>
      <c r="D37" s="405" t="n">
        <f aca="false">MAX('APA Inputs'!$B$17,MAX(0,D36)*'APA Inputs'!$B$16)</f>
        <v>800</v>
      </c>
      <c r="E37" s="405" t="n">
        <f aca="false">MAX('APA Inputs'!$B$17,MAX(0,E36)*'APA Inputs'!$B$16)</f>
        <v>800</v>
      </c>
      <c r="F37" s="405" t="n">
        <f aca="false">MAX('APA Inputs'!$B$17,MAX(0,F36)*'APA Inputs'!$B$16)</f>
        <v>800</v>
      </c>
      <c r="G37" s="405" t="n">
        <f aca="false">MAX('APA Inputs'!$B$17,MAX(0,G36)*'APA Inputs'!$B$16)</f>
        <v>800</v>
      </c>
      <c r="H37" s="405" t="n">
        <f aca="false">MAX('APA Inputs'!$B$17,MAX(0,H36)*'APA Inputs'!$B$16)</f>
        <v>800</v>
      </c>
      <c r="I37" s="405" t="n">
        <f aca="false">MAX('APA Inputs'!$B$17,MAX(0,I36)*'APA Inputs'!$B$16)</f>
        <v>800</v>
      </c>
      <c r="J37" s="405" t="n">
        <f aca="false">MAX('APA Inputs'!$B$17,MAX(0,J36)*'APA Inputs'!$B$16)</f>
        <v>800</v>
      </c>
      <c r="K37" s="413" t="n">
        <f aca="false">SUM(B37:J37)</f>
        <v>7200</v>
      </c>
    </row>
    <row r="38" customFormat="false" ht="15" hidden="false" customHeight="true" outlineLevel="0" collapsed="false">
      <c r="A38" s="393" t="s">
        <v>1391</v>
      </c>
      <c r="B38" s="405" t="n">
        <f aca="false">MAX(0,B36-B37)*'APA Inputs'!$B$15</f>
        <v>486.659333999998</v>
      </c>
      <c r="C38" s="405" t="n">
        <f aca="false">MAX(0,C36-C37)*'APA Inputs'!$B$15</f>
        <v>0</v>
      </c>
      <c r="D38" s="405" t="n">
        <f aca="false">MAX(0,D36-D37)*'APA Inputs'!$B$15</f>
        <v>0</v>
      </c>
      <c r="E38" s="405" t="n">
        <f aca="false">MAX(0,E36-E37)*'APA Inputs'!$B$15</f>
        <v>0</v>
      </c>
      <c r="F38" s="405" t="n">
        <f aca="false">MAX(0,F36-F37)*'APA Inputs'!$B$15</f>
        <v>0</v>
      </c>
      <c r="G38" s="405" t="n">
        <f aca="false">MAX(0,G36-G37)*'APA Inputs'!$B$15</f>
        <v>0</v>
      </c>
      <c r="H38" s="405" t="n">
        <f aca="false">MAX(0,H36-H37)*'APA Inputs'!$B$15</f>
        <v>0</v>
      </c>
      <c r="I38" s="405" t="n">
        <f aca="false">MAX(0,I36-I37)*'APA Inputs'!$B$15</f>
        <v>0</v>
      </c>
      <c r="J38" s="405" t="n">
        <f aca="false">MAX(0,J36-J37)*'APA Inputs'!$B$15</f>
        <v>0</v>
      </c>
      <c r="K38" s="413" t="n">
        <f aca="false">SUM(B38:J38)</f>
        <v>486.659333999998</v>
      </c>
    </row>
    <row r="39" customFormat="false" ht="15" hidden="false" customHeight="true" outlineLevel="0" collapsed="false">
      <c r="A39" s="401" t="s">
        <v>1392</v>
      </c>
      <c r="B39" s="413" t="n">
        <f aca="false">B36-B37-B38</f>
        <v>1830.76606599999</v>
      </c>
      <c r="C39" s="413" t="n">
        <f aca="false">C36-C37-C38</f>
        <v>-3559.66</v>
      </c>
      <c r="D39" s="413" t="n">
        <f aca="false">D36-D37-D38</f>
        <v>-122387.38</v>
      </c>
      <c r="E39" s="413" t="n">
        <f aca="false">E36-E37-E38</f>
        <v>-177322.5</v>
      </c>
      <c r="F39" s="413" t="n">
        <f aca="false">F36-F37-F38</f>
        <v>-178118.175</v>
      </c>
      <c r="G39" s="413" t="n">
        <f aca="false">G36-G37-G38</f>
        <v>-178937.72025</v>
      </c>
      <c r="H39" s="413" t="n">
        <f aca="false">H36-H37-H38</f>
        <v>-179781.8518575</v>
      </c>
      <c r="I39" s="413" t="n">
        <f aca="false">I36-I37-I38</f>
        <v>-180651.307413225</v>
      </c>
      <c r="J39" s="413" t="n">
        <f aca="false">J36-J37-J38</f>
        <v>-181546.846635622</v>
      </c>
      <c r="K39" s="413" t="n">
        <f aca="false">SUM(B39:J39)</f>
        <v>-1200474.67509035</v>
      </c>
    </row>
    <row r="40" customFormat="false" ht="15" hidden="false" customHeight="true" outlineLevel="0" collapsed="false">
      <c r="A40" s="393" t="s">
        <v>1393</v>
      </c>
      <c r="B40" s="405" t="n">
        <f aca="false">MAX(0,B39)</f>
        <v>1830.76606599999</v>
      </c>
      <c r="C40" s="405" t="n">
        <f aca="false">MAX(0,C39)</f>
        <v>0</v>
      </c>
      <c r="D40" s="405" t="n">
        <f aca="false">MAX(0,D39)</f>
        <v>0</v>
      </c>
      <c r="E40" s="405" t="n">
        <f aca="false">MAX(0,E39)</f>
        <v>0</v>
      </c>
      <c r="F40" s="405" t="n">
        <f aca="false">MAX(0,F39)</f>
        <v>0</v>
      </c>
      <c r="G40" s="405" t="n">
        <f aca="false">MAX(0,G39)</f>
        <v>0</v>
      </c>
      <c r="H40" s="405" t="n">
        <f aca="false">MAX(0,H39)</f>
        <v>0</v>
      </c>
      <c r="I40" s="405" t="n">
        <f aca="false">MAX(0,I39)</f>
        <v>0</v>
      </c>
      <c r="J40" s="405" t="n">
        <f aca="false">MAX(0,J39)</f>
        <v>0</v>
      </c>
      <c r="K40" s="413" t="n">
        <f aca="false">SUM(B40:J40)</f>
        <v>1830.76606599999</v>
      </c>
    </row>
    <row r="41" customFormat="false" ht="15" hidden="false" customHeight="true" outlineLevel="0" collapsed="false">
      <c r="A41" s="414" t="s">
        <v>1394</v>
      </c>
      <c r="B41" s="411"/>
      <c r="C41" s="411"/>
      <c r="D41" s="411"/>
      <c r="E41" s="411"/>
      <c r="F41" s="411"/>
      <c r="G41" s="411"/>
      <c r="H41" s="411"/>
      <c r="I41" s="411"/>
      <c r="J41" s="411"/>
      <c r="K41" s="411"/>
    </row>
    <row r="42" customFormat="false" ht="15" hidden="false" customHeight="true" outlineLevel="0" collapsed="false">
      <c r="A42" s="393" t="s">
        <v>1395</v>
      </c>
      <c r="B42" s="405" t="n">
        <f aca="false">B29+B31</f>
        <v>81648.3773</v>
      </c>
      <c r="C42" s="405" t="n">
        <f aca="false">C29+C31</f>
        <v>150000</v>
      </c>
      <c r="D42" s="405" t="n">
        <f aca="false">D29+D31</f>
        <v>150000</v>
      </c>
      <c r="E42" s="405" t="n">
        <f aca="false">E29+E31</f>
        <v>150000</v>
      </c>
      <c r="F42" s="405" t="n">
        <f aca="false">F29+F31</f>
        <v>150000</v>
      </c>
      <c r="G42" s="405" t="n">
        <f aca="false">G29+G31</f>
        <v>150000</v>
      </c>
      <c r="H42" s="405" t="n">
        <f aca="false">H29+H31</f>
        <v>150000</v>
      </c>
      <c r="I42" s="405" t="n">
        <f aca="false">I29+I31</f>
        <v>150000</v>
      </c>
      <c r="J42" s="405" t="n">
        <f aca="false">J29+J31</f>
        <v>150000</v>
      </c>
      <c r="K42" s="413" t="n">
        <f aca="false">SUM(B42:J42)</f>
        <v>1281648.3773</v>
      </c>
    </row>
    <row r="43" customFormat="false" ht="15" hidden="false" customHeight="true" outlineLevel="0" collapsed="false">
      <c r="A43" s="393" t="s">
        <v>1396</v>
      </c>
      <c r="B43" s="405" t="n">
        <f aca="false">B40*'APA Inputs'!$B$14</f>
        <v>915.383032999997</v>
      </c>
      <c r="C43" s="405" t="n">
        <f aca="false">C40*'APA Inputs'!$B$14</f>
        <v>0</v>
      </c>
      <c r="D43" s="405" t="n">
        <f aca="false">D40*'APA Inputs'!$B$14</f>
        <v>0</v>
      </c>
      <c r="E43" s="405" t="n">
        <f aca="false">E40*'APA Inputs'!$B$14</f>
        <v>0</v>
      </c>
      <c r="F43" s="405" t="n">
        <f aca="false">F40*'APA Inputs'!$B$14</f>
        <v>0</v>
      </c>
      <c r="G43" s="405" t="n">
        <f aca="false">G40*'APA Inputs'!$B$14</f>
        <v>0</v>
      </c>
      <c r="H43" s="405" t="n">
        <f aca="false">H40*'APA Inputs'!$B$14</f>
        <v>0</v>
      </c>
      <c r="I43" s="405" t="n">
        <f aca="false">I40*'APA Inputs'!$B$14</f>
        <v>0</v>
      </c>
      <c r="J43" s="405" t="n">
        <f aca="false">J40*'APA Inputs'!$B$14</f>
        <v>0</v>
      </c>
      <c r="K43" s="413" t="n">
        <f aca="false">SUM(B43:J43)</f>
        <v>915.383032999997</v>
      </c>
    </row>
    <row r="44" customFormat="false" ht="15" hidden="false" customHeight="true" outlineLevel="0" collapsed="false">
      <c r="A44" s="415" t="s">
        <v>1397</v>
      </c>
      <c r="B44" s="416" t="n">
        <f aca="false">B42+B43</f>
        <v>82563.760333</v>
      </c>
      <c r="C44" s="416" t="n">
        <f aca="false">C42+C43</f>
        <v>150000</v>
      </c>
      <c r="D44" s="416" t="n">
        <f aca="false">D42+D43</f>
        <v>150000</v>
      </c>
      <c r="E44" s="416" t="n">
        <f aca="false">E42+E43</f>
        <v>150000</v>
      </c>
      <c r="F44" s="416" t="n">
        <f aca="false">F42+F43</f>
        <v>150000</v>
      </c>
      <c r="G44" s="416" t="n">
        <f aca="false">G42+G43</f>
        <v>150000</v>
      </c>
      <c r="H44" s="416" t="n">
        <f aca="false">H42+H43</f>
        <v>150000</v>
      </c>
      <c r="I44" s="416" t="n">
        <f aca="false">I42+I43</f>
        <v>150000</v>
      </c>
      <c r="J44" s="416" t="n">
        <f aca="false">J42+J43</f>
        <v>150000</v>
      </c>
      <c r="K44" s="413" t="n">
        <f aca="false">SUM(B44:J44)</f>
        <v>1282563.760333</v>
      </c>
    </row>
    <row r="45" customFormat="false" ht="15" hidden="false" customHeight="true" outlineLevel="0" collapsed="false">
      <c r="A45" s="414" t="s">
        <v>1398</v>
      </c>
      <c r="B45" s="411"/>
      <c r="C45" s="411"/>
      <c r="D45" s="411"/>
      <c r="E45" s="411"/>
      <c r="F45" s="411"/>
      <c r="G45" s="411"/>
      <c r="H45" s="411"/>
      <c r="I45" s="411"/>
      <c r="J45" s="411"/>
      <c r="K45" s="411"/>
    </row>
    <row r="46" customFormat="false" ht="15" hidden="false" customHeight="true" outlineLevel="0" collapsed="false">
      <c r="A46" s="393" t="s">
        <v>1399</v>
      </c>
      <c r="B46" s="405" t="n">
        <f aca="false">B32</f>
        <v>6648.3773</v>
      </c>
      <c r="C46" s="405" t="n">
        <f aca="false">C32</f>
        <v>0</v>
      </c>
      <c r="D46" s="405" t="n">
        <f aca="false">D32</f>
        <v>0</v>
      </c>
      <c r="E46" s="405" t="n">
        <f aca="false">E32</f>
        <v>0</v>
      </c>
      <c r="F46" s="405" t="n">
        <f aca="false">F32</f>
        <v>0</v>
      </c>
      <c r="G46" s="405" t="n">
        <f aca="false">G32</f>
        <v>0</v>
      </c>
      <c r="H46" s="405" t="n">
        <f aca="false">H32</f>
        <v>0</v>
      </c>
      <c r="I46" s="405" t="n">
        <f aca="false">I32</f>
        <v>0</v>
      </c>
      <c r="J46" s="405" t="n">
        <f aca="false">J32</f>
        <v>0</v>
      </c>
      <c r="K46" s="413" t="n">
        <f aca="false">SUM(B46:J46)</f>
        <v>6648.3773</v>
      </c>
    </row>
    <row r="47" customFormat="false" ht="15" hidden="false" customHeight="true" outlineLevel="0" collapsed="false">
      <c r="A47" s="393" t="s">
        <v>1396</v>
      </c>
      <c r="B47" s="405" t="n">
        <f aca="false">B40*(1-'APA Inputs'!$B$14)</f>
        <v>915.383032999997</v>
      </c>
      <c r="C47" s="405" t="n">
        <f aca="false">C40*(1-'APA Inputs'!$B$14)</f>
        <v>0</v>
      </c>
      <c r="D47" s="405" t="n">
        <f aca="false">D40*(1-'APA Inputs'!$B$14)</f>
        <v>0</v>
      </c>
      <c r="E47" s="405" t="n">
        <f aca="false">E40*(1-'APA Inputs'!$B$14)</f>
        <v>0</v>
      </c>
      <c r="F47" s="405" t="n">
        <f aca="false">F40*(1-'APA Inputs'!$B$14)</f>
        <v>0</v>
      </c>
      <c r="G47" s="405" t="n">
        <f aca="false">G40*(1-'APA Inputs'!$B$14)</f>
        <v>0</v>
      </c>
      <c r="H47" s="405" t="n">
        <f aca="false">H40*(1-'APA Inputs'!$B$14)</f>
        <v>0</v>
      </c>
      <c r="I47" s="405" t="n">
        <f aca="false">I40*(1-'APA Inputs'!$B$14)</f>
        <v>0</v>
      </c>
      <c r="J47" s="405" t="n">
        <f aca="false">J40*(1-'APA Inputs'!$B$14)</f>
        <v>0</v>
      </c>
      <c r="K47" s="413" t="n">
        <f aca="false">SUM(B47:J47)</f>
        <v>915.383032999997</v>
      </c>
    </row>
    <row r="48" customFormat="false" ht="15" hidden="false" customHeight="true" outlineLevel="0" collapsed="false">
      <c r="A48" s="415" t="s">
        <v>1400</v>
      </c>
      <c r="B48" s="416" t="n">
        <f aca="false">B46+B47</f>
        <v>7563.760333</v>
      </c>
      <c r="C48" s="416" t="n">
        <f aca="false">C46+C47</f>
        <v>0</v>
      </c>
      <c r="D48" s="416" t="n">
        <f aca="false">D46+D47</f>
        <v>0</v>
      </c>
      <c r="E48" s="416" t="n">
        <f aca="false">E46+E47</f>
        <v>0</v>
      </c>
      <c r="F48" s="416" t="n">
        <f aca="false">F46+F47</f>
        <v>0</v>
      </c>
      <c r="G48" s="416" t="n">
        <f aca="false">G46+G47</f>
        <v>0</v>
      </c>
      <c r="H48" s="416" t="n">
        <f aca="false">H46+H47</f>
        <v>0</v>
      </c>
      <c r="I48" s="416" t="n">
        <f aca="false">I46+I47</f>
        <v>0</v>
      </c>
      <c r="J48" s="416" t="n">
        <f aca="false">J46+J47</f>
        <v>0</v>
      </c>
      <c r="K48" s="413" t="n">
        <f aca="false">SUM(B48:J48)</f>
        <v>7563.760333</v>
      </c>
    </row>
    <row r="49" customFormat="false" ht="15" hidden="false" customHeight="true" outlineLevel="0" collapsed="false">
      <c r="A49" s="414" t="s">
        <v>1401</v>
      </c>
      <c r="B49" s="411"/>
      <c r="C49" s="411"/>
      <c r="D49" s="411"/>
      <c r="E49" s="411"/>
      <c r="F49" s="411"/>
      <c r="G49" s="411"/>
      <c r="H49" s="411"/>
      <c r="I49" s="411"/>
      <c r="J49" s="411"/>
      <c r="K49" s="411"/>
    </row>
    <row r="50" customFormat="false" ht="15" hidden="false" customHeight="true" outlineLevel="0" collapsed="false">
      <c r="A50" s="393" t="s">
        <v>1402</v>
      </c>
      <c r="B50" s="405" t="n">
        <f aca="false">-MIN(0,B39)</f>
        <v>-0</v>
      </c>
      <c r="C50" s="405" t="n">
        <f aca="false">-MIN(0,C39)</f>
        <v>3559.66</v>
      </c>
      <c r="D50" s="405" t="n">
        <f aca="false">-MIN(0,D39)</f>
        <v>122387.38</v>
      </c>
      <c r="E50" s="405" t="n">
        <f aca="false">-MIN(0,E39)</f>
        <v>177322.5</v>
      </c>
      <c r="F50" s="405" t="n">
        <f aca="false">-MIN(0,F39)</f>
        <v>178118.175</v>
      </c>
      <c r="G50" s="405" t="n">
        <f aca="false">-MIN(0,G39)</f>
        <v>178937.72025</v>
      </c>
      <c r="H50" s="405" t="n">
        <f aca="false">-MIN(0,H39)</f>
        <v>179781.8518575</v>
      </c>
      <c r="I50" s="405" t="n">
        <f aca="false">-MIN(0,I39)</f>
        <v>180651.307413225</v>
      </c>
      <c r="J50" s="405" t="n">
        <f aca="false">-MIN(0,J39)</f>
        <v>181546.846635622</v>
      </c>
      <c r="K50" s="413" t="n">
        <f aca="false">SUM(B50:J50)</f>
        <v>1202305.44115635</v>
      </c>
    </row>
    <row r="51" customFormat="false" ht="15" hidden="false" customHeight="true" outlineLevel="0" collapsed="false">
      <c r="A51" s="418" t="s">
        <v>1403</v>
      </c>
      <c r="B51" s="419" t="n">
        <f aca="false">ROUND(B23-B25-B37-B38-B44-B48+B50,0)</f>
        <v>0</v>
      </c>
      <c r="C51" s="419" t="n">
        <f aca="false">ROUND(C23-C25-C37-C38-C44-C48+C50,0)</f>
        <v>0</v>
      </c>
      <c r="D51" s="419" t="n">
        <f aca="false">ROUND(D23-D25-D37-D38-D44-D48+D50,0)</f>
        <v>0</v>
      </c>
      <c r="E51" s="419" t="n">
        <f aca="false">ROUND(E23-E25-E37-E38-E44-E48+E50,0)</f>
        <v>0</v>
      </c>
      <c r="F51" s="419" t="n">
        <f aca="false">ROUND(F23-F25-F37-F38-F44-F48+F50,0)</f>
        <v>0</v>
      </c>
      <c r="G51" s="419" t="n">
        <f aca="false">ROUND(G23-G25-G37-G38-G44-G48+G50,0)</f>
        <v>0</v>
      </c>
      <c r="H51" s="419" t="n">
        <f aca="false">ROUND(H23-H25-H37-H38-H44-H48+H50,0)</f>
        <v>0</v>
      </c>
      <c r="I51" s="419" t="n">
        <f aca="false">ROUND(I23-I25-I37-I38-I44-I48+I50,0)</f>
        <v>0</v>
      </c>
      <c r="J51" s="419" t="n">
        <f aca="false">ROUND(J23-J25-J37-J38-J44-J48+J50,0)</f>
        <v>0</v>
      </c>
      <c r="K51" s="413" t="n">
        <f aca="false">SUM(B51:J51)</f>
        <v>0</v>
      </c>
    </row>
    <row r="53" customFormat="false" ht="15" hidden="false" customHeight="true" outlineLevel="0" collapsed="false">
      <c r="A53" s="393" t="s">
        <v>1404</v>
      </c>
      <c r="B53" s="405" t="n">
        <f aca="false">MIN(B29,B50)</f>
        <v>-0</v>
      </c>
      <c r="C53" s="405" t="n">
        <f aca="false">MIN(C29,C50)</f>
        <v>3559.66</v>
      </c>
      <c r="D53" s="405" t="n">
        <f aca="false">MIN(D29,D50)</f>
        <v>122387.38</v>
      </c>
      <c r="E53" s="405" t="n">
        <f aca="false">MIN(E29,E50)</f>
        <v>150000</v>
      </c>
      <c r="F53" s="405" t="n">
        <f aca="false">MIN(F29,F50)</f>
        <v>150000</v>
      </c>
      <c r="G53" s="405" t="n">
        <f aca="false">MIN(G29,G50)</f>
        <v>150000</v>
      </c>
      <c r="H53" s="405" t="n">
        <f aca="false">MIN(H29,H50)</f>
        <v>150000</v>
      </c>
      <c r="I53" s="405" t="n">
        <f aca="false">MIN(I29,I50)</f>
        <v>150000</v>
      </c>
      <c r="J53" s="405" t="n">
        <f aca="false">MIN(J29,J50)</f>
        <v>150000</v>
      </c>
      <c r="K53" s="405" t="n">
        <f aca="false">SUM(B53:J53)</f>
        <v>1025947.04</v>
      </c>
    </row>
    <row r="54" customFormat="false" ht="15" hidden="false" customHeight="true" outlineLevel="0" collapsed="false">
      <c r="A54" s="393" t="s">
        <v>1405</v>
      </c>
      <c r="B54" s="405" t="n">
        <f aca="false">B53</f>
        <v>-0</v>
      </c>
      <c r="C54" s="405" t="n">
        <f aca="false">B54+C53</f>
        <v>3559.66</v>
      </c>
      <c r="D54" s="405" t="n">
        <f aca="false">C54+D53</f>
        <v>125947.04</v>
      </c>
      <c r="E54" s="405" t="n">
        <f aca="false">D54+E53</f>
        <v>275947.04</v>
      </c>
      <c r="F54" s="405" t="n">
        <f aca="false">E54+F53</f>
        <v>425947.04</v>
      </c>
      <c r="G54" s="405" t="n">
        <f aca="false">F54+G53</f>
        <v>575947.04</v>
      </c>
      <c r="H54" s="405" t="n">
        <f aca="false">G54+H53</f>
        <v>725947.04</v>
      </c>
      <c r="I54" s="405" t="n">
        <f aca="false">H54+I53</f>
        <v>875947.04</v>
      </c>
      <c r="J54" s="405" t="n">
        <f aca="false">I54+J53</f>
        <v>1025947.04</v>
      </c>
      <c r="K54" s="405"/>
    </row>
    <row r="56" customFormat="false" ht="15" hidden="false" customHeight="true" outlineLevel="0" collapsed="false">
      <c r="A56" s="389" t="s">
        <v>1406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2026-10-16T18:05:06Z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