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workbook.xml" ContentType="application/vnd.openxmlformats-officedocument.spreadsheetml.sheet.main+xml"/>
  <Override PartName="/xl/theme/theme1.xml" ContentType="application/vnd.openxmlformats-officedocument.theme+xml"/>
  <Override PartName="/xl/_rels/workbook.xml.rels" ContentType="application/vnd.openxmlformats-package.relationships+xml"/>
  <Override PartName="/xl/comments27.xml" ContentType="application/vnd.openxmlformats-officedocument.spreadsheetml.comments+xml"/>
  <Override PartName="/xl/comments19.xml" ContentType="application/vnd.openxmlformats-officedocument.spreadsheetml.comment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9.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 ref="J11" authorId="0">
      <text>
        <r>
          <rPr>
            <sz val="10"/>
            <rFont val="Arial"/>
            <family val="2"/>
          </rPr>
          <t xml:space="preserve">Was Yes. Steyn no longer guarantees Klump &amp; Scott (Chris 3 Oct 2026).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<sst xmlns="http://schemas.openxmlformats.org/spreadsheetml/2006/main" count="3715" uniqueCount="1490">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</sst>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89" fontId="29" fillId="25" borderId="0" xfId="0" applyFont="true" applyBorder="false" applyAlignment="fals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47437.8394736842</v>
      </c>
      <c r="R261" s="30" t="n">
        <f aca="false">SUM(R240:R260)</f>
        <v>47437.8394736842</v>
      </c>
      <c r="S261" s="30" t="n">
        <f aca="false">SUM(S240:S260)</f>
        <v>47437.8394736842</v>
      </c>
      <c r="T261" s="30" t="n">
        <f aca="false">SUM(T240:T260)</f>
        <v>21931.5894736842</v>
      </c>
      <c r="U261" s="30" t="n">
        <f aca="false">SUM(U240:U260)</f>
        <v>23531.5894736842</v>
      </c>
      <c r="V261" s="30" t="n">
        <f aca="false">SUM(V240:V260)</f>
        <v>23531.5894736842</v>
      </c>
      <c r="W261" s="30" t="n">
        <f aca="false">SUM(W240:W260)</f>
        <v>23531.5894736842</v>
      </c>
      <c r="X261" s="30" t="n">
        <f aca="false">SUM(X240:X260)</f>
        <v>22992.7894736842</v>
      </c>
      <c r="Y261" s="30" t="n">
        <f aca="false">SUM(Y240:Y260)</f>
        <v>80367.7894736842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-140770.616526316</v>
      </c>
      <c r="R293" s="37" t="n">
        <f aca="false">R261+R292</f>
        <v>-140770.616526316</v>
      </c>
      <c r="S293" s="37" t="n">
        <f aca="false">S261+S292</f>
        <v>-140770.616526316</v>
      </c>
      <c r="T293" s="37" t="n">
        <f aca="false">T261+T292</f>
        <v>-166276.866526316</v>
      </c>
      <c r="U293" s="37" t="n">
        <f aca="false">U261+U292</f>
        <v>-164676.866526316</v>
      </c>
      <c r="V293" s="37" t="n">
        <f aca="false">V261+V292</f>
        <v>-164676.866526316</v>
      </c>
      <c r="W293" s="37" t="n">
        <f aca="false">W261+W292</f>
        <v>-164676.866526316</v>
      </c>
      <c r="X293" s="37" t="n">
        <f aca="false">X261+X292</f>
        <v>-165215.666526316</v>
      </c>
      <c r="Y293" s="37" t="n">
        <f aca="false">Y261+Y292</f>
        <v>-107840.666526316</v>
      </c>
      <c r="Z293" s="37" t="n">
        <f aca="false">Z261+Z292</f>
        <v>-172392.666526316</v>
      </c>
      <c r="AA293" s="37" t="n">
        <f aca="false">AA261+AA292</f>
        <v>-172392.666526316</v>
      </c>
      <c r="AB293" s="37" t="n">
        <f aca="false">AB261+AB292</f>
        <v>-115017.666526316</v>
      </c>
      <c r="AC293" s="37" t="n">
        <f aca="false">AC261+AC292</f>
        <v>-176056.835646316</v>
      </c>
      <c r="AD293" s="37" t="n">
        <f aca="false">AD261+AD292</f>
        <v>-176056.835646316</v>
      </c>
      <c r="AE293" s="37" t="n">
        <f aca="false">AE261+AE292</f>
        <v>-118681.835646316</v>
      </c>
      <c r="AF293" s="37" t="n">
        <f aca="false">AF261+AF292</f>
        <v>-176056.835646316</v>
      </c>
      <c r="AG293" s="37" t="n">
        <f aca="false">AG261+AG292</f>
        <v>-179214.730383158</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47437.8394736842</v>
      </c>
      <c r="R297" s="13" t="n">
        <f aca="false">R261</f>
        <v>47437.8394736842</v>
      </c>
      <c r="S297" s="13" t="n">
        <f aca="false">S261</f>
        <v>47437.8394736842</v>
      </c>
      <c r="T297" s="13" t="n">
        <f aca="false">T261</f>
        <v>21931.5894736842</v>
      </c>
      <c r="U297" s="13" t="n">
        <f aca="false">U261</f>
        <v>23531.5894736842</v>
      </c>
      <c r="V297" s="13" t="n">
        <f aca="false">V261</f>
        <v>23531.5894736842</v>
      </c>
      <c r="W297" s="13" t="n">
        <f aca="false">W261</f>
        <v>23531.5894736842</v>
      </c>
      <c r="X297" s="13" t="n">
        <f aca="false">X261</f>
        <v>22992.7894736842</v>
      </c>
      <c r="Y297" s="13" t="n">
        <f aca="false">Y261</f>
        <v>80367.7894736842</v>
      </c>
      <c r="Z297" s="13" t="n">
        <f aca="false">Z261</f>
        <v>15815.7894736842</v>
      </c>
      <c r="AA297" s="13" t="n">
        <f aca="false">AA261</f>
        <v>15815.7894736842</v>
      </c>
      <c r="AB297" s="13" t="n">
        <f aca="false">AB261</f>
        <v>73190.7894736842</v>
      </c>
      <c r="AC297" s="13" t="n">
        <f aca="false">AC261</f>
        <v>15815.7894736842</v>
      </c>
      <c r="AD297" s="13" t="n">
        <f aca="false">AD261</f>
        <v>15815.7894736842</v>
      </c>
      <c r="AE297" s="13" t="n">
        <f aca="false">AE261</f>
        <v>73190.7894736842</v>
      </c>
      <c r="AF297" s="13" t="n">
        <f aca="false">AF261</f>
        <v>15815.7894736842</v>
      </c>
      <c r="AG297" s="13" t="n">
        <f aca="false">AG261</f>
        <v>12657.8947368421</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933521</v>
      </c>
      <c r="BD297" s="13" t="n">
        <f aca="false">BD261</f>
        <v>0</v>
      </c>
      <c r="BE297" s="13" t="n">
        <f aca="false">BE261</f>
        <v>0</v>
      </c>
      <c r="BF297" s="13" t="n">
        <f aca="false">BF261</f>
        <v>130878</v>
      </c>
      <c r="BG297" s="13" t="n">
        <f aca="false">BG261</f>
        <v>0</v>
      </c>
      <c r="BH297" s="13" t="n">
        <f aca="false">BH261</f>
        <v>0</v>
      </c>
      <c r="BI297" s="13" t="n">
        <f aca="false">BI261</f>
        <v>130876</v>
      </c>
      <c r="BJ297" s="13" t="n">
        <f aca="false">BJ261</f>
        <v>0</v>
      </c>
      <c r="BK297" s="13" t="n">
        <f aca="false">BK261</f>
        <v>0</v>
      </c>
      <c r="BL297" s="13" t="n">
        <f aca="false">BL261</f>
        <v>130876</v>
      </c>
      <c r="BM297" s="13" t="n">
        <f aca="false">BM261</f>
        <v>0</v>
      </c>
      <c r="BN297" s="13" t="n">
        <f aca="false">BN261</f>
        <v>0</v>
      </c>
      <c r="BO297" s="13" t="n">
        <f aca="false">BO261</f>
        <v>130876</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216865.520685591</v>
      </c>
      <c r="R298" s="30" t="n">
        <f aca="false">R296+R297</f>
        <v>783920.54120495</v>
      </c>
      <c r="S298" s="30" t="n">
        <f aca="false">S296+S297</f>
        <v>908689.466894509</v>
      </c>
      <c r="T298" s="30" t="n">
        <f aca="false">T296+T297</f>
        <v>944904.928407767</v>
      </c>
      <c r="U298" s="30" t="n">
        <f aca="false">U296+U297</f>
        <v>1167612.39445457</v>
      </c>
      <c r="V298" s="30" t="n">
        <f aca="false">V296+V297</f>
        <v>1246191.48445456</v>
      </c>
      <c r="W298" s="30" t="n">
        <f aca="false">W296+W297</f>
        <v>1134505.18445457</v>
      </c>
      <c r="X298" s="30" t="n">
        <f aca="false">X296+X297</f>
        <v>1427844.32931348</v>
      </c>
      <c r="Y298" s="30" t="n">
        <f aca="false">Y296+Y297</f>
        <v>1323458.50931348</v>
      </c>
      <c r="Z298" s="30" t="n">
        <f aca="false">Z296+Z297</f>
        <v>1385252.68931348</v>
      </c>
      <c r="AA298" s="30" t="n">
        <f aca="false">AA296+AA297</f>
        <v>1414491.34267462</v>
      </c>
      <c r="AB298" s="30" t="n">
        <f aca="false">AB296+AB297</f>
        <v>1285534.62057412</v>
      </c>
      <c r="AC298" s="30" t="n">
        <f aca="false">AC296+AC297</f>
        <v>999434.151330562</v>
      </c>
      <c r="AD298" s="30" t="n">
        <f aca="false">AD296+AD297</f>
        <v>1022384.06133056</v>
      </c>
      <c r="AE298" s="30" t="n">
        <f aca="false">AE296+AE297</f>
        <v>495477.369243445</v>
      </c>
      <c r="AF298" s="30" t="n">
        <f aca="false">AF296+AF297</f>
        <v>1340595.52631382</v>
      </c>
      <c r="AG298" s="30" t="n">
        <f aca="false">AG296+AG297</f>
        <v>1247534.71982851</v>
      </c>
      <c r="AH298" s="30" t="n">
        <f aca="false">AH296+AH297</f>
        <v>1107683.50212976</v>
      </c>
      <c r="AI298" s="30" t="n">
        <f aca="false">AI296+AI297</f>
        <v>1092016.63212976</v>
      </c>
      <c r="AJ298" s="30" t="n">
        <f aca="false">AJ296+AJ297</f>
        <v>1189583.24979076</v>
      </c>
      <c r="AK298" s="30" t="n">
        <f aca="false">AK296+AK297</f>
        <v>818983.359672127</v>
      </c>
      <c r="AL298" s="30" t="n">
        <f aca="false">AL296+AL297</f>
        <v>808059.470052578</v>
      </c>
      <c r="AM298" s="30" t="n">
        <f aca="false">AM296+AM297</f>
        <v>597906.909784677</v>
      </c>
      <c r="AN298" s="30" t="n">
        <f aca="false">AN296+AN297</f>
        <v>489424.859784678</v>
      </c>
      <c r="AO298" s="30" t="n">
        <f aca="false">AO296+AO297</f>
        <v>449496.249784678</v>
      </c>
      <c r="AP298" s="30" t="n">
        <f aca="false">AP296+AP297</f>
        <v>449496.249784678</v>
      </c>
      <c r="AQ298" s="30" t="n">
        <f aca="false">AQ296+AQ297</f>
        <v>449496.249784677</v>
      </c>
      <c r="AR298" s="30" t="n">
        <f aca="false">AR296+AR297</f>
        <v>449496.249784678</v>
      </c>
      <c r="AS298" s="30" t="n">
        <f aca="false">AS296+AS297</f>
        <v>449496.249784677</v>
      </c>
      <c r="AT298" s="30" t="n">
        <f aca="false">AT296+AT297</f>
        <v>803664.835138177</v>
      </c>
      <c r="AU298" s="30" t="n">
        <f aca="false">AU296+AU297</f>
        <v>427569.2939703</v>
      </c>
      <c r="AV298" s="30" t="n">
        <f aca="false">AV296+AV297</f>
        <v>157659.640868547</v>
      </c>
      <c r="AW298" s="30" t="n">
        <f aca="false">AW296+AW297</f>
        <v>239341.640868547</v>
      </c>
      <c r="AX298" s="30" t="n">
        <f aca="false">AX296+AX297</f>
        <v>157659.640868547</v>
      </c>
      <c r="AY298" s="30" t="n">
        <f aca="false">AY296+AY297</f>
        <v>157659.640868547</v>
      </c>
      <c r="AZ298" s="30" t="n">
        <f aca="false">AZ296+AZ297</f>
        <v>239341.640868547</v>
      </c>
      <c r="BA298" s="30" t="n">
        <f aca="false">BA296+BA297</f>
        <v>157659.640868547</v>
      </c>
      <c r="BB298" s="30" t="n">
        <f aca="false">BB296+BB297</f>
        <v>157659.640868547</v>
      </c>
      <c r="BC298" s="30" t="n">
        <f aca="false">BC296+BC297</f>
        <v>1091180.64086855</v>
      </c>
      <c r="BD298" s="30" t="n">
        <f aca="false">BD296+BD297</f>
        <v>157659.640868547</v>
      </c>
      <c r="BE298" s="30" t="n">
        <f aca="false">BE296+BE297</f>
        <v>157659.640868547</v>
      </c>
      <c r="BF298" s="30" t="n">
        <f aca="false">BF296+BF297</f>
        <v>288537.640868547</v>
      </c>
      <c r="BG298" s="30" t="n">
        <f aca="false">BG296+BG297</f>
        <v>157659.640868547</v>
      </c>
      <c r="BH298" s="30" t="n">
        <f aca="false">BH296+BH297</f>
        <v>406595.915924147</v>
      </c>
      <c r="BI298" s="30" t="n">
        <f aca="false">BI296+BI297</f>
        <v>130876</v>
      </c>
      <c r="BJ298" s="30" t="n">
        <f aca="false">BJ296+BJ297</f>
        <v>0</v>
      </c>
      <c r="BK298" s="30" t="n">
        <f aca="false">BK296+BK297</f>
        <v>0</v>
      </c>
      <c r="BL298" s="30" t="n">
        <f aca="false">BL296+BL297</f>
        <v>130876</v>
      </c>
      <c r="BM298" s="30" t="n">
        <f aca="false">BM296+BM297</f>
        <v>0</v>
      </c>
      <c r="BN298" s="30" t="n">
        <f aca="false">BN296+BN297</f>
        <v>0</v>
      </c>
      <c r="BO298" s="30" t="n">
        <f aca="false">BO296+BO297</f>
        <v>130876</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-539056.439014409</v>
      </c>
      <c r="R302" s="37" t="n">
        <f aca="false">R298+R301</f>
        <v>-20761.6684950496</v>
      </c>
      <c r="S302" s="37" t="n">
        <f aca="false">S298+S301</f>
        <v>90301.5946945087</v>
      </c>
      <c r="T302" s="37" t="n">
        <f aca="false">T298+T301</f>
        <v>124348.006207767</v>
      </c>
      <c r="U302" s="37" t="n">
        <f aca="false">U298+U301</f>
        <v>347992.012254566</v>
      </c>
      <c r="V302" s="37" t="n">
        <f aca="false">V298+V301</f>
        <v>472678.024754564</v>
      </c>
      <c r="W302" s="37" t="n">
        <f aca="false">W298+W301</f>
        <v>360991.724754567</v>
      </c>
      <c r="X302" s="37" t="n">
        <f aca="false">X298+X301</f>
        <v>654330.869613481</v>
      </c>
      <c r="Y302" s="37" t="n">
        <f aca="false">Y298+Y301</f>
        <v>487379.223163481</v>
      </c>
      <c r="Z302" s="37" t="n">
        <f aca="false">Z298+Z301</f>
        <v>614289.469998096</v>
      </c>
      <c r="AA302" s="37" t="n">
        <f aca="false">AA298+AA301</f>
        <v>653143.50797462</v>
      </c>
      <c r="AB302" s="37" t="n">
        <f aca="false">AB298+AB301</f>
        <v>525818.939720272</v>
      </c>
      <c r="AC302" s="37" t="n">
        <f aca="false">AC298+AC301</f>
        <v>230901.079936562</v>
      </c>
      <c r="AD302" s="37" t="n">
        <f aca="false">AD298+AD301</f>
        <v>260220.290513485</v>
      </c>
      <c r="AE302" s="37" t="n">
        <f aca="false">AE298+AE301</f>
        <v>-244763.324650555</v>
      </c>
      <c r="AF302" s="37" t="n">
        <f aca="false">AF298+AF301</f>
        <v>600354.832419823</v>
      </c>
      <c r="AG302" s="37" t="n">
        <f aca="false">AG298+AG301</f>
        <v>507294.025934506</v>
      </c>
      <c r="AH302" s="37" t="n">
        <f aca="false">AH298+AH301</f>
        <v>371018.555928071</v>
      </c>
      <c r="AI302" s="37" t="n">
        <f aca="false">AI298+AI301</f>
        <v>367659.378235763</v>
      </c>
      <c r="AJ302" s="37" t="n">
        <f aca="false">AJ298+AJ301</f>
        <v>465225.995896764</v>
      </c>
      <c r="AK302" s="37" t="n">
        <f aca="false">AK298+AK301</f>
        <v>94626.1057781273</v>
      </c>
      <c r="AL302" s="37" t="n">
        <f aca="false">AL298+AL301</f>
        <v>85490.0900047314</v>
      </c>
      <c r="AM302" s="37" t="n">
        <f aca="false">AM298+AM301</f>
        <v>-104429.117570861</v>
      </c>
      <c r="AN302" s="37" t="n">
        <f aca="false">AN298+AN301</f>
        <v>-158080.328532399</v>
      </c>
      <c r="AO302" s="37" t="n">
        <f aca="false">AO298+AO301</f>
        <v>-188497.503837202</v>
      </c>
      <c r="AP302" s="37" t="n">
        <f aca="false">AP298+AP301</f>
        <v>-188497.503837202</v>
      </c>
      <c r="AQ302" s="37" t="n">
        <f aca="false">AQ298+AQ301</f>
        <v>-182292.371302587</v>
      </c>
      <c r="AR302" s="37" t="n">
        <f aca="false">AR298+AR301</f>
        <v>-162676.986687202</v>
      </c>
      <c r="AS302" s="37" t="n">
        <f aca="false">AS298+AS301</f>
        <v>-159635.255052587</v>
      </c>
      <c r="AT302" s="37" t="n">
        <f aca="false">AT298+AT301</f>
        <v>122465.714916297</v>
      </c>
      <c r="AU302" s="37" t="n">
        <f aca="false">AU298+AU301</f>
        <v>-171946.82625158</v>
      </c>
      <c r="AV302" s="37" t="n">
        <f aca="false">AV298+AV301</f>
        <v>-441856.479353333</v>
      </c>
      <c r="AW302" s="37" t="n">
        <f aca="false">AW298+AW301</f>
        <v>-441856.479353333</v>
      </c>
      <c r="AX302" s="37" t="n">
        <f aca="false">AX298+AX301</f>
        <v>-441856.479353333</v>
      </c>
      <c r="AY302" s="37" t="n">
        <f aca="false">AY298+AY301</f>
        <v>-441856.479353333</v>
      </c>
      <c r="AZ302" s="37" t="n">
        <f aca="false">AZ298+AZ301</f>
        <v>-441856.479353333</v>
      </c>
      <c r="BA302" s="37" t="n">
        <f aca="false">BA298+BA301</f>
        <v>-453746.801757771</v>
      </c>
      <c r="BB302" s="37" t="n">
        <f aca="false">BB298+BB301</f>
        <v>-453746.801757771</v>
      </c>
      <c r="BC302" s="37" t="n">
        <f aca="false">BC298+BC301</f>
        <v>-453746.801757771</v>
      </c>
      <c r="BD302" s="37" t="n">
        <f aca="false">BD298+BD301</f>
        <v>-453746.801757771</v>
      </c>
      <c r="BE302" s="37" t="n">
        <f aca="false">BE298+BE301</f>
        <v>-453746.801757771</v>
      </c>
      <c r="BF302" s="37" t="n">
        <f aca="false">BF298+BF301</f>
        <v>-453746.801757771</v>
      </c>
      <c r="BG302" s="37" t="n">
        <f aca="false">BG298+BG301</f>
        <v>-453746.801757771</v>
      </c>
      <c r="BH302" s="37" t="n">
        <f aca="false">BH298+BH301</f>
        <v>-204810.526702171</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v>
      </c>
      <c r="S303" s="33" t="n">
        <f aca="false">IFERROR(IF(OR(S298&lt;=0,S302/S298&lt;0,S302/S298&gt;1),0,S302/S298),0)</f>
        <v>0.0993756370953863</v>
      </c>
      <c r="T303" s="33" t="n">
        <f aca="false">IFERROR(IF(OR(T298&lt;=0,T302/T298&lt;0,T302/T298&gt;1),0,T302/T298),0)</f>
        <v>0.131598431195932</v>
      </c>
      <c r="U303" s="33" t="n">
        <f aca="false">IFERROR(IF(OR(U298&lt;=0,U302/U298&lt;0,U302/U298&gt;1),0,U302/U298),0)</f>
        <v>0.298037271535753</v>
      </c>
      <c r="V303" s="33" t="n">
        <f aca="false">IFERROR(IF(OR(V298&lt;=0,V302/V298&lt;0,V302/V298&gt;1),0,V302/V298),0)</f>
        <v>0.379298069880045</v>
      </c>
      <c r="W303" s="33" t="n">
        <f aca="false">IFERROR(IF(OR(W298&lt;=0,W302/W298&lt;0,W302/W298&gt;1),0,W302/W298),0)</f>
        <v>0.318193102773805</v>
      </c>
      <c r="X303" s="33" t="n">
        <f aca="false">IFERROR(IF(OR(X298&lt;=0,X302/X298&lt;0,X302/X298&gt;1),0,X302/X298),0)</f>
        <v>0.458264851552892</v>
      </c>
      <c r="Y303" s="33" t="n">
        <f aca="false">IFERROR(IF(OR(Y298&lt;=0,Y302/Y298&lt;0,Y302/Y298&gt;1),0,Y302/Y298),0)</f>
        <v>0.368261807781416</v>
      </c>
      <c r="Z303" s="33" t="n">
        <f aca="false">IFERROR(IF(OR(Z298&lt;=0,Z302/Z298&lt;0,Z302/Z298&gt;1),0,Z302/Z298),0)</f>
        <v>0.443449397165605</v>
      </c>
      <c r="AA303" s="33" t="n">
        <f aca="false">IFERROR(IF(OR(AA298&lt;=0,AA302/AA298&lt;0,AA302/AA298&gt;1),0,AA302/AA298),0)</f>
        <v>0.461751506191343</v>
      </c>
      <c r="AB303" s="33" t="n">
        <f aca="false">IFERROR(IF(OR(AB298&lt;=0,AB302/AB298&lt;0,AB302/AB298&gt;1),0,AB302/AB298),0)</f>
        <v>0.409027443761446</v>
      </c>
      <c r="AC303" s="33" t="n">
        <f aca="false">IFERROR(IF(OR(AC298&lt;=0,AC302/AC298&lt;0,AC302/AC298&gt;1),0,AC302/AC298),0)</f>
        <v>0.23103180897827</v>
      </c>
      <c r="AD303" s="33" t="n">
        <f aca="false">IFERROR(IF(OR(AD298&lt;=0,AD302/AD298&lt;0,AD302/AD298&gt;1),0,AD302/AD298),0)</f>
        <v>0.254523031369275</v>
      </c>
      <c r="AE303" s="33" t="n">
        <f aca="false">IFERROR(IF(OR(AE298&lt;=0,AE302/AE298&lt;0,AE302/AE298&gt;1),0,AE302/AE298),0)</f>
        <v>0</v>
      </c>
      <c r="AF303" s="33" t="n">
        <f aca="false">IFERROR(IF(OR(AF298&lt;=0,AF302/AF298&lt;0,AF302/AF298&gt;1),0,AF302/AF298),0)</f>
        <v>0.447826969906868</v>
      </c>
      <c r="AG303" s="33" t="n">
        <f aca="false">IFERROR(IF(OR(AG298&lt;=0,AG302/AG298&lt;0,AG302/AG298&gt;1),0,AG302/AG298),0)</f>
        <v>0.406637200449413</v>
      </c>
      <c r="AH303" s="33" t="n">
        <f aca="false">IFERROR(IF(OR(AH298&lt;=0,AH302/AH298&lt;0,AH302/AH298&gt;1),0,AH302/AH298),0)</f>
        <v>0.334949970108526</v>
      </c>
      <c r="AI303" s="33" t="n">
        <f aca="false">IFERROR(IF(OR(AI298&lt;=0,AI302/AI298&lt;0,AI302/AI298&gt;1),0,AI302/AI298),0)</f>
        <v>0.33667928437932</v>
      </c>
      <c r="AJ303" s="33" t="n">
        <f aca="false">IFERROR(IF(OR(AJ298&lt;=0,AJ302/AJ298&lt;0,AJ302/AJ298&gt;1),0,AJ302/AJ298),0)</f>
        <v>0.391083176380125</v>
      </c>
      <c r="AK303" s="33" t="n">
        <f aca="false">IFERROR(IF(OR(AK298&lt;=0,AK302/AK298&lt;0,AK302/AK298&gt;1),0,AK302/AK298),0)</f>
        <v>0.115540938238367</v>
      </c>
      <c r="AL303" s="33" t="n">
        <f aca="false">IFERROR(IF(OR(AL298&lt;=0,AL302/AL298&lt;0,AL302/AL298&gt;1),0,AL302/AL298),0)</f>
        <v>0.10579678003052</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0.152384065547973</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-539056.44</v>
      </c>
      <c r="R305" s="13" t="n">
        <f aca="false">ROUND(R302-(Budget!S57+Budget!S114),2)</f>
        <v>-20761.67</v>
      </c>
      <c r="S305" s="13" t="n">
        <f aca="false">ROUND(S302-(Budget!T57+Budget!T114),2)</f>
        <v>90301.59</v>
      </c>
      <c r="T305" s="13" t="n">
        <f aca="false">ROUND(T302-(Budget!U57+Budget!U114),2)</f>
        <v>124348.01</v>
      </c>
      <c r="U305" s="13" t="n">
        <f aca="false">ROUND(U302-(Budget!V57+Budget!V114),2)</f>
        <v>347992.01</v>
      </c>
      <c r="V305" s="13" t="n">
        <f aca="false">ROUND(V302-(Budget!W57+Budget!W114),2)</f>
        <v>472678.02</v>
      </c>
      <c r="W305" s="13" t="n">
        <f aca="false">ROUND(W302-(Budget!X57+Budget!X114),2)</f>
        <v>360991.72</v>
      </c>
      <c r="X305" s="13" t="n">
        <f aca="false">ROUND(X302-(Budget!Y57+Budget!Y114),2)</f>
        <v>654330.87</v>
      </c>
      <c r="Y305" s="13" t="n">
        <f aca="false">ROUND(Y302-(Budget!Z57+Budget!Z114),2)</f>
        <v>487379.22</v>
      </c>
      <c r="Z305" s="13" t="n">
        <f aca="false">ROUND(Z302-(Budget!AA57+Budget!AA114),2)</f>
        <v>614289.47</v>
      </c>
      <c r="AA305" s="13" t="n">
        <f aca="false">ROUND(AA302-(Budget!AB57+Budget!AB114),2)</f>
        <v>653143.51</v>
      </c>
      <c r="AB305" s="13" t="n">
        <f aca="false">ROUND(AB302-(Budget!AC57+Budget!AC114),2)</f>
        <v>525818.94</v>
      </c>
      <c r="AC305" s="13" t="n">
        <f aca="false">ROUND(AC302-(Budget!AD57+Budget!AD114),2)</f>
        <v>230901.08</v>
      </c>
      <c r="AD305" s="13" t="n">
        <f aca="false">ROUND(AD302-(Budget!AE57+Budget!AE114),2)</f>
        <v>260220.29</v>
      </c>
      <c r="AE305" s="13" t="n">
        <f aca="false">ROUND(AE302-(Budget!AF57+Budget!AF114),2)</f>
        <v>-244763.32</v>
      </c>
      <c r="AF305" s="13" t="n">
        <f aca="false">ROUND(AF302-(Budget!AG57+Budget!AG114),2)</f>
        <v>600354.83</v>
      </c>
      <c r="AG305" s="13" t="n">
        <f aca="false">ROUND(AG302-(Budget!AH57+Budget!AH114),2)</f>
        <v>507294.03</v>
      </c>
      <c r="AH305" s="13" t="n">
        <f aca="false">ROUND(AH302-(Budget!AI57+Budget!AI114),2)</f>
        <v>371018.56</v>
      </c>
      <c r="AI305" s="13" t="n">
        <f aca="false">ROUND(AI302-(Budget!AJ57+Budget!AJ114),2)</f>
        <v>367659.38</v>
      </c>
      <c r="AJ305" s="13" t="n">
        <f aca="false">ROUND(AJ302-(Budget!AK57+Budget!AK114),2)</f>
        <v>465226</v>
      </c>
      <c r="AK305" s="13" t="n">
        <f aca="false">ROUND(AK302-(Budget!AL57+Budget!AL114),2)</f>
        <v>94626.11</v>
      </c>
      <c r="AL305" s="13" t="n">
        <f aca="false">ROUND(AL302-(Budget!AM57+Budget!AM114),2)</f>
        <v>85490.09</v>
      </c>
      <c r="AM305" s="13" t="n">
        <f aca="false">ROUND(AM302-(Budget!AN57+Budget!AN114),2)</f>
        <v>-104429.12</v>
      </c>
      <c r="AN305" s="13" t="n">
        <f aca="false">ROUND(AN302-(Budget!AO57+Budget!AO114),2)</f>
        <v>-158080.33</v>
      </c>
      <c r="AO305" s="13" t="n">
        <f aca="false">ROUND(AO302-(Budget!AP57+Budget!AP114),2)</f>
        <v>-188497.5</v>
      </c>
      <c r="AP305" s="13" t="n">
        <f aca="false">ROUND(AP302-(Budget!AQ57+Budget!AQ114),2)</f>
        <v>-188497.5</v>
      </c>
      <c r="AQ305" s="13" t="n">
        <f aca="false">ROUND(AQ302-(Budget!AR57+Budget!AR114),2)</f>
        <v>-182292.37</v>
      </c>
      <c r="AR305" s="13" t="n">
        <f aca="false">ROUND(AR302-(Budget!AS57+Budget!AS114),2)</f>
        <v>-162676.99</v>
      </c>
      <c r="AS305" s="13" t="n">
        <f aca="false">ROUND(AS302-(Budget!AT57+Budget!AT114),2)</f>
        <v>-159635.26</v>
      </c>
      <c r="AT305" s="13" t="n">
        <f aca="false">ROUND(AT302-(Budget!AU57+Budget!AU114),2)</f>
        <v>122465.71</v>
      </c>
      <c r="AU305" s="13" t="n">
        <f aca="false">ROUND(AU302-(Budget!AV57+Budget!AV114),2)</f>
        <v>-171946.83</v>
      </c>
      <c r="AV305" s="13" t="n">
        <f aca="false">ROUND(AV302-(Budget!AW57+Budget!AW114),2)</f>
        <v>-441856.48</v>
      </c>
      <c r="AW305" s="13" t="n">
        <f aca="false">ROUND(AW302-(Budget!AX57+Budget!AX114),2)</f>
        <v>-441856.48</v>
      </c>
      <c r="AX305" s="13" t="n">
        <f aca="false">ROUND(AX302-(Budget!AY57+Budget!AY114),2)</f>
        <v>-441856.48</v>
      </c>
      <c r="AY305" s="13" t="n">
        <f aca="false">ROUND(AY302-(Budget!AZ57+Budget!AZ114),2)</f>
        <v>-441856.48</v>
      </c>
      <c r="AZ305" s="13" t="n">
        <f aca="false">ROUND(AZ302-(Budget!BA57+Budget!BA114),2)</f>
        <v>-441856.48</v>
      </c>
      <c r="BA305" s="13" t="n">
        <f aca="false">ROUND(BA302-(Budget!BB57+Budget!BB114),2)</f>
        <v>-453746.8</v>
      </c>
      <c r="BB305" s="13" t="n">
        <f aca="false">ROUND(BB302-(Budget!BC57+Budget!BC114),2)</f>
        <v>-453746.8</v>
      </c>
      <c r="BC305" s="13" t="n">
        <f aca="false">ROUND(BC302-(Budget!BD57+Budget!BD114),2)</f>
        <v>-453746.8</v>
      </c>
      <c r="BD305" s="13" t="n">
        <f aca="false">ROUND(BD302-(Budget!BE57+Budget!BE114),2)</f>
        <v>-453746.8</v>
      </c>
      <c r="BE305" s="13" t="n">
        <f aca="false">ROUND(BE302-(Budget!BF57+Budget!BF114),2)</f>
        <v>-453746.8</v>
      </c>
      <c r="BF305" s="13" t="n">
        <f aca="false">ROUND(BF302-(Budget!BG57+Budget!BG114),2)</f>
        <v>-453746.8</v>
      </c>
      <c r="BG305" s="13" t="n">
        <f aca="false">ROUND(BG302-(Budget!BH57+Budget!BH114),2)</f>
        <v>-453746.8</v>
      </c>
      <c r="BH305" s="13" t="n">
        <f aca="false">ROUND(BH302-(Budget!BI57+Budget!BI114),2)</f>
        <v>-204810.53</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-937720.069032581</v>
      </c>
      <c r="S366" s="13" t="n">
        <f aca="false">R371</f>
        <v>-1190490.6855589</v>
      </c>
      <c r="T366" s="13" t="n">
        <f aca="false">S371</f>
        <v>-1443261.30208521</v>
      </c>
      <c r="U366" s="13" t="n">
        <f aca="false">T371</f>
        <v>-1721538.16861153</v>
      </c>
      <c r="V366" s="13" t="n">
        <f aca="false">U371</f>
        <v>-1998215.03513784</v>
      </c>
      <c r="W366" s="13" t="n">
        <f aca="false">V371</f>
        <v>-2274891.90166416</v>
      </c>
      <c r="X366" s="13" t="n">
        <f aca="false">W371</f>
        <v>-2551568.76819048</v>
      </c>
      <c r="Y366" s="13" t="n">
        <f aca="false">X371</f>
        <v>-2828784.43471679</v>
      </c>
      <c r="Z366" s="13" t="n">
        <f aca="false">Y371</f>
        <v>-3048625.10124311</v>
      </c>
      <c r="AA366" s="13" t="n">
        <f aca="false">Z371</f>
        <v>-3333017.76776942</v>
      </c>
      <c r="AB366" s="13" t="n">
        <f aca="false">AA371</f>
        <v>-3867410.43429574</v>
      </c>
      <c r="AC366" s="13" t="n">
        <f aca="false">AB371</f>
        <v>-4094428.10082206</v>
      </c>
      <c r="AD366" s="13" t="n">
        <f aca="false">AC371</f>
        <v>-4382484.93646837</v>
      </c>
      <c r="AE366" s="13" t="n">
        <f aca="false">AD371</f>
        <v>-4670541.77211469</v>
      </c>
      <c r="AF366" s="13" t="n">
        <f aca="false">AE371</f>
        <v>-4881205.0380396</v>
      </c>
      <c r="AG366" s="13" t="n">
        <f aca="false">AF371</f>
        <v>-5057261.87368592</v>
      </c>
      <c r="AH366" s="13" t="n">
        <f aca="false">AG371</f>
        <v>-5236476.60406907</v>
      </c>
      <c r="AI366" s="13" t="n">
        <f aca="false">AH371</f>
        <v>-5418849.22918907</v>
      </c>
      <c r="AJ366" s="13" t="n">
        <f aca="false">AI371</f>
        <v>-5610721.85430907</v>
      </c>
      <c r="AK366" s="13" t="n">
        <f aca="false">AJ371</f>
        <v>-5802594.47942907</v>
      </c>
      <c r="AL366" s="13" t="n">
        <f aca="false">AK371</f>
        <v>-5994467.10454907</v>
      </c>
      <c r="AM366" s="13" t="n">
        <f aca="false">AL371</f>
        <v>-6186339.72966907</v>
      </c>
      <c r="AN366" s="13" t="n">
        <f aca="false">AM371</f>
        <v>-6628212.35478907</v>
      </c>
      <c r="AO366" s="13" t="n">
        <f aca="false">AN371</f>
        <v>-6820084.97990907</v>
      </c>
      <c r="AP366" s="13" t="n">
        <f aca="false">AO371</f>
        <v>-7015695.05753147</v>
      </c>
      <c r="AQ366" s="13" t="n">
        <f aca="false">AP371</f>
        <v>-7211305.13515387</v>
      </c>
      <c r="AR366" s="13" t="n">
        <f aca="false">AQ371</f>
        <v>-7406915.21277627</v>
      </c>
      <c r="AS366" s="13" t="n">
        <f aca="false">AR371</f>
        <v>-7602525.29039867</v>
      </c>
      <c r="AT366" s="13" t="n">
        <f aca="false">AS371</f>
        <v>-7798135.36802107</v>
      </c>
      <c r="AU366" s="13" t="n">
        <f aca="false">AT371</f>
        <v>-7993745.44564347</v>
      </c>
      <c r="AV366" s="13" t="n">
        <f aca="false">AU371</f>
        <v>-8189355.52326587</v>
      </c>
      <c r="AW366" s="13" t="n">
        <f aca="false">AV371</f>
        <v>-8384965.60088827</v>
      </c>
      <c r="AX366" s="13" t="n">
        <f aca="false">AW371</f>
        <v>-8580575.67851067</v>
      </c>
      <c r="AY366" s="13" t="n">
        <f aca="false">AX371</f>
        <v>-8776185.75613307</v>
      </c>
      <c r="AZ366" s="13" t="n">
        <f aca="false">AY371</f>
        <v>-8971795.83375547</v>
      </c>
      <c r="BA366" s="13" t="n">
        <f aca="false">AZ371</f>
        <v>-9167405.91137787</v>
      </c>
      <c r="BB366" s="13" t="n">
        <f aca="false">BA371</f>
        <v>-9366828.19055272</v>
      </c>
      <c r="BC366" s="13" t="n">
        <f aca="false">BB371</f>
        <v>-9566250.46972757</v>
      </c>
      <c r="BD366" s="13" t="n">
        <f aca="false">BC371</f>
        <v>-9765672.74890241</v>
      </c>
      <c r="BE366" s="13" t="n">
        <f aca="false">BD371</f>
        <v>-9965095.02807726</v>
      </c>
      <c r="BF366" s="13" t="n">
        <f aca="false">BE371</f>
        <v>-10164517.3072521</v>
      </c>
      <c r="BG366" s="13" t="n">
        <f aca="false">BF371</f>
        <v>-10363939.586427</v>
      </c>
      <c r="BH366" s="13" t="n">
        <f aca="false">BG371</f>
        <v>-10563361.8656018</v>
      </c>
      <c r="BI366" s="13" t="n">
        <f aca="false">BH371</f>
        <v>-10762784.1447767</v>
      </c>
      <c r="BJ366" s="13" t="n">
        <f aca="false">BI371</f>
        <v>-10962206.4239515</v>
      </c>
      <c r="BK366" s="13" t="n">
        <f aca="false">BJ371</f>
        <v>-11161628.7031263</v>
      </c>
      <c r="BL366" s="13" t="n">
        <f aca="false">BK371</f>
        <v>-11361050.9823012</v>
      </c>
      <c r="BM366" s="13" t="n">
        <f aca="false">BL371</f>
        <v>-11560473.261476</v>
      </c>
      <c r="BN366" s="13" t="n">
        <f aca="false">BM371</f>
        <v>-11763783.9862344</v>
      </c>
      <c r="BO366" s="13" t="n">
        <f aca="false">BN371</f>
        <v>-11967094.7109927</v>
      </c>
      <c r="BP366" s="13" t="n">
        <f aca="false">BO371</f>
        <v>-12170405.4357511</v>
      </c>
      <c r="BQ366" s="13" t="n">
        <f aca="false">BP371</f>
        <v>-12373716.1605094</v>
      </c>
      <c r="BR366" s="13" t="n">
        <f aca="false">BQ371</f>
        <v>-12577026.8852678</v>
      </c>
      <c r="BS366" s="13" t="n">
        <f aca="false">BR371</f>
        <v>-12727087.2600261</v>
      </c>
      <c r="BT366" s="13" t="n">
        <f aca="false">BS371</f>
        <v>-12930397.9847845</v>
      </c>
      <c r="BU366" s="13" t="n">
        <f aca="false">BT371</f>
        <v>-13133708.7095428</v>
      </c>
      <c r="BV366" s="13" t="n">
        <f aca="false">BU371</f>
        <v>-13269257.4343012</v>
      </c>
      <c r="BW366" s="13" t="n">
        <f aca="false">BV371</f>
        <v>-13472568.1590595</v>
      </c>
      <c r="BX366" s="13" t="n">
        <f aca="false">BW371</f>
        <v>-13675878.8838178</v>
      </c>
      <c r="BY366" s="13" t="n">
        <f aca="false">BX371</f>
        <v>-13811427.6085762</v>
      </c>
      <c r="BZ366" s="13" t="n">
        <f aca="false">BY371</f>
        <v>-14018704.5478297</v>
      </c>
      <c r="CA366" s="13" t="n">
        <f aca="false">BZ371</f>
        <v>-14225981.4870832</v>
      </c>
      <c r="CB366" s="13" t="n">
        <f aca="false">CA371</f>
        <v>-14365496.4263367</v>
      </c>
      <c r="CC366" s="13" t="n">
        <f aca="false">CB371</f>
        <v>-14572773.3655902</v>
      </c>
      <c r="CD366" s="13" t="n">
        <f aca="false">CC371</f>
        <v>-14780050.3048438</v>
      </c>
      <c r="CE366" s="13" t="n">
        <f aca="false">CD371</f>
        <v>-14910828.2440973</v>
      </c>
      <c r="CF366" s="13" t="n">
        <f aca="false">CE371</f>
        <v>-15118105.1833508</v>
      </c>
      <c r="CG366" s="13" t="n">
        <f aca="false">CF371</f>
        <v>-15325382.1226043</v>
      </c>
      <c r="CH366" s="13" t="n">
        <f aca="false">CG371</f>
        <v>-15456160.0618578</v>
      </c>
      <c r="CI366" s="13" t="n">
        <f aca="false">CH371</f>
        <v>-15663437.0011113</v>
      </c>
      <c r="CJ366" s="13" t="n">
        <f aca="false">CI371</f>
        <v>-15870713.9403648</v>
      </c>
      <c r="CK366" s="13" t="n">
        <f aca="false">CJ371</f>
        <v>-15994883.8530119</v>
      </c>
      <c r="CL366" s="13" t="n">
        <f aca="false">CK371</f>
        <v>-16048345.3310504</v>
      </c>
      <c r="CM366" s="13" t="n">
        <f aca="false">CL371</f>
        <v>-16101806.809089</v>
      </c>
      <c r="CN366" s="13" t="n">
        <f aca="false">CM371</f>
        <v>-16155268.2871276</v>
      </c>
      <c r="CO366" s="13" t="n">
        <f aca="false">CN371</f>
        <v>-16208729.7651662</v>
      </c>
      <c r="CP366" s="13" t="n">
        <f aca="false">CO371</f>
        <v>-16262191.2432048</v>
      </c>
      <c r="CQ366" s="13" t="n">
        <f aca="false">CP371</f>
        <v>-16315652.7212434</v>
      </c>
      <c r="CR366" s="13" t="n">
        <f aca="false">CQ371</f>
        <v>-16369114.1992819</v>
      </c>
      <c r="CS366" s="13" t="n">
        <f aca="false">CR371</f>
        <v>-16422575.6773205</v>
      </c>
      <c r="CT366" s="13" t="n">
        <f aca="false">CS371</f>
        <v>-16476037.1553591</v>
      </c>
      <c r="CU366" s="13" t="n">
        <f aca="false">CT371</f>
        <v>-16520476.6647164</v>
      </c>
      <c r="CV366" s="13" t="n">
        <f aca="false">CU371</f>
        <v>-16564916.1740736</v>
      </c>
      <c r="CW366" s="13" t="n">
        <f aca="false">CV371</f>
        <v>-16609355.6834309</v>
      </c>
      <c r="CX366" s="13" t="n">
        <f aca="false">CW371</f>
        <v>-16602033.0519117</v>
      </c>
      <c r="CY366" s="13" t="n">
        <f aca="false">CX371</f>
        <v>-16577263.5714561</v>
      </c>
      <c r="CZ366" s="13" t="n">
        <f aca="false">CY371</f>
        <v>-16552494.0910005</v>
      </c>
      <c r="DA366" s="13" t="n">
        <f aca="false">CZ371</f>
        <v>-16527724.6105449</v>
      </c>
      <c r="DB366" s="13" t="n">
        <f aca="false">DA371</f>
        <v>-16502955.1300893</v>
      </c>
      <c r="DC366" s="13" t="n">
        <f aca="false">DB371</f>
        <v>-16478185.6496337</v>
      </c>
      <c r="DD366" s="13" t="n">
        <f aca="false">DC371</f>
        <v>-16453416.1691781</v>
      </c>
      <c r="DE366" s="13" t="n">
        <f aca="false">DD371</f>
        <v>-16428646.6887225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-140770.616526316</v>
      </c>
      <c r="R367" s="13" t="n">
        <f aca="false">R293</f>
        <v>-140770.616526316</v>
      </c>
      <c r="S367" s="13" t="n">
        <f aca="false">S293</f>
        <v>-140770.616526316</v>
      </c>
      <c r="T367" s="13" t="n">
        <f aca="false">T293</f>
        <v>-166276.866526316</v>
      </c>
      <c r="U367" s="13" t="n">
        <f aca="false">U293</f>
        <v>-164676.866526316</v>
      </c>
      <c r="V367" s="13" t="n">
        <f aca="false">V293</f>
        <v>-164676.866526316</v>
      </c>
      <c r="W367" s="13" t="n">
        <f aca="false">W293</f>
        <v>-164676.866526316</v>
      </c>
      <c r="X367" s="13" t="n">
        <f aca="false">X293</f>
        <v>-165215.666526316</v>
      </c>
      <c r="Y367" s="13" t="n">
        <f aca="false">Y293</f>
        <v>-107840.666526316</v>
      </c>
      <c r="Z367" s="13" t="n">
        <f aca="false">Z293</f>
        <v>-172392.666526316</v>
      </c>
      <c r="AA367" s="13" t="n">
        <f aca="false">AA293</f>
        <v>-172392.666526316</v>
      </c>
      <c r="AB367" s="13" t="n">
        <f aca="false">AB293</f>
        <v>-115017.666526316</v>
      </c>
      <c r="AC367" s="13" t="n">
        <f aca="false">AC293</f>
        <v>-176056.835646316</v>
      </c>
      <c r="AD367" s="13" t="n">
        <f aca="false">AD293</f>
        <v>-176056.835646316</v>
      </c>
      <c r="AE367" s="13" t="n">
        <f aca="false">AE293</f>
        <v>-118681.835646316</v>
      </c>
      <c r="AF367" s="13" t="n">
        <f aca="false">AF293</f>
        <v>-176056.835646316</v>
      </c>
      <c r="AG367" s="13" t="n">
        <f aca="false">AG293</f>
        <v>-179214.730383158</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-937720.069032581</v>
      </c>
      <c r="R371" s="68" t="n">
        <f aca="false">R366+R367+R368+R369+R370</f>
        <v>-1190490.6855589</v>
      </c>
      <c r="S371" s="68" t="n">
        <f aca="false">S366+S367+S368+S369+S370</f>
        <v>-1443261.30208521</v>
      </c>
      <c r="T371" s="68" t="n">
        <f aca="false">T366+T367+T368+T369+T370</f>
        <v>-1721538.16861153</v>
      </c>
      <c r="U371" s="68" t="n">
        <f aca="false">U366+U367+U368+U369+U370</f>
        <v>-1998215.03513784</v>
      </c>
      <c r="V371" s="68" t="n">
        <f aca="false">V366+V367+V368+V369+V370</f>
        <v>-2274891.90166416</v>
      </c>
      <c r="W371" s="68" t="n">
        <f aca="false">W366+W367+W368+W369+W370</f>
        <v>-2551568.76819048</v>
      </c>
      <c r="X371" s="68" t="n">
        <f aca="false">X366+X367+X368+X369+X370</f>
        <v>-2828784.43471679</v>
      </c>
      <c r="Y371" s="68" t="n">
        <f aca="false">Y366+Y367+Y368+Y369+Y370</f>
        <v>-3048625.10124311</v>
      </c>
      <c r="Z371" s="68" t="n">
        <f aca="false">Z366+Z367+Z368+Z369+Z370</f>
        <v>-3333017.76776942</v>
      </c>
      <c r="AA371" s="68" t="n">
        <f aca="false">AA366+AA367+AA368+AA369+AA370</f>
        <v>-3867410.43429574</v>
      </c>
      <c r="AB371" s="68" t="n">
        <f aca="false">AB366+AB367+AB368+AB369+AB370</f>
        <v>-4094428.10082206</v>
      </c>
      <c r="AC371" s="68" t="n">
        <f aca="false">AC366+AC367+AC368+AC369+AC370</f>
        <v>-4382484.93646837</v>
      </c>
      <c r="AD371" s="68" t="n">
        <f aca="false">AD366+AD367+AD368+AD369+AD370</f>
        <v>-4670541.77211469</v>
      </c>
      <c r="AE371" s="68" t="n">
        <f aca="false">AE366+AE367+AE368+AE369+AE370</f>
        <v>-4881205.0380396</v>
      </c>
      <c r="AF371" s="68" t="n">
        <f aca="false">AF366+AF367+AF368+AF369+AF370</f>
        <v>-5057261.87368592</v>
      </c>
      <c r="AG371" s="68" t="n">
        <f aca="false">AG366+AG367+AG368+AG369+AG370</f>
        <v>-5236476.60406907</v>
      </c>
      <c r="AH371" s="68" t="n">
        <f aca="false">AH366+AH367+AH368+AH369+AH370</f>
        <v>-5418849.22918907</v>
      </c>
      <c r="AI371" s="68" t="n">
        <f aca="false">AI366+AI367+AI368+AI369+AI370</f>
        <v>-5610721.85430907</v>
      </c>
      <c r="AJ371" s="68" t="n">
        <f aca="false">AJ366+AJ367+AJ368+AJ369+AJ370</f>
        <v>-5802594.47942907</v>
      </c>
      <c r="AK371" s="68" t="n">
        <f aca="false">AK366+AK367+AK368+AK369+AK370</f>
        <v>-5994467.10454907</v>
      </c>
      <c r="AL371" s="68" t="n">
        <f aca="false">AL366+AL367+AL368+AL369+AL370</f>
        <v>-6186339.72966907</v>
      </c>
      <c r="AM371" s="68" t="n">
        <f aca="false">AM366+AM367+AM368+AM369+AM370</f>
        <v>-6628212.35478907</v>
      </c>
      <c r="AN371" s="68" t="n">
        <f aca="false">AN366+AN367+AN368+AN369+AN370</f>
        <v>-6820084.97990907</v>
      </c>
      <c r="AO371" s="68" t="n">
        <f aca="false">AO366+AO367+AO368+AO369+AO370</f>
        <v>-7015695.05753147</v>
      </c>
      <c r="AP371" s="68" t="n">
        <f aca="false">AP366+AP367+AP368+AP369+AP370</f>
        <v>-7211305.13515387</v>
      </c>
      <c r="AQ371" s="68" t="n">
        <f aca="false">AQ366+AQ367+AQ368+AQ369+AQ370</f>
        <v>-7406915.21277627</v>
      </c>
      <c r="AR371" s="68" t="n">
        <f aca="false">AR366+AR367+AR368+AR369+AR370</f>
        <v>-7602525.29039867</v>
      </c>
      <c r="AS371" s="68" t="n">
        <f aca="false">AS366+AS367+AS368+AS369+AS370</f>
        <v>-7798135.36802107</v>
      </c>
      <c r="AT371" s="68" t="n">
        <f aca="false">AT366+AT367+AT368+AT369+AT370</f>
        <v>-7993745.44564347</v>
      </c>
      <c r="AU371" s="68" t="n">
        <f aca="false">AU366+AU367+AU368+AU369+AU370</f>
        <v>-8189355.52326587</v>
      </c>
      <c r="AV371" s="68" t="n">
        <f aca="false">AV366+AV367+AV368+AV369+AV370</f>
        <v>-8384965.60088827</v>
      </c>
      <c r="AW371" s="68" t="n">
        <f aca="false">AW366+AW367+AW368+AW369+AW370</f>
        <v>-8580575.67851067</v>
      </c>
      <c r="AX371" s="68" t="n">
        <f aca="false">AX366+AX367+AX368+AX369+AX370</f>
        <v>-8776185.75613307</v>
      </c>
      <c r="AY371" s="68" t="n">
        <f aca="false">AY366+AY367+AY368+AY369+AY370</f>
        <v>-8971795.83375547</v>
      </c>
      <c r="AZ371" s="68" t="n">
        <f aca="false">AZ366+AZ367+AZ368+AZ369+AZ370</f>
        <v>-9167405.91137787</v>
      </c>
      <c r="BA371" s="68" t="n">
        <f aca="false">BA366+BA367+BA368+BA369+BA370</f>
        <v>-9366828.19055272</v>
      </c>
      <c r="BB371" s="68" t="n">
        <f aca="false">BB366+BB367+BB368+BB369+BB370</f>
        <v>-9566250.46972757</v>
      </c>
      <c r="BC371" s="68" t="n">
        <f aca="false">BC366+BC367+BC368+BC369+BC370</f>
        <v>-9765672.74890241</v>
      </c>
      <c r="BD371" s="68" t="n">
        <f aca="false">BD366+BD367+BD368+BD369+BD370</f>
        <v>-9965095.02807726</v>
      </c>
      <c r="BE371" s="68" t="n">
        <f aca="false">BE366+BE367+BE368+BE369+BE370</f>
        <v>-10164517.3072521</v>
      </c>
      <c r="BF371" s="68" t="n">
        <f aca="false">BF366+BF367+BF368+BF369+BF370</f>
        <v>-10363939.586427</v>
      </c>
      <c r="BG371" s="68" t="n">
        <f aca="false">BG366+BG367+BG368+BG369+BG370</f>
        <v>-10563361.8656018</v>
      </c>
      <c r="BH371" s="68" t="n">
        <f aca="false">BH366+BH367+BH368+BH369+BH370</f>
        <v>-10762784.1447767</v>
      </c>
      <c r="BI371" s="68" t="n">
        <f aca="false">BI366+BI367+BI368+BI369+BI370</f>
        <v>-10962206.4239515</v>
      </c>
      <c r="BJ371" s="68" t="n">
        <f aca="false">BJ366+BJ367+BJ368+BJ369+BJ370</f>
        <v>-11161628.7031263</v>
      </c>
      <c r="BK371" s="68" t="n">
        <f aca="false">BK366+BK367+BK368+BK369+BK370</f>
        <v>-11361050.9823012</v>
      </c>
      <c r="BL371" s="68" t="n">
        <f aca="false">BL366+BL367+BL368+BL369+BL370</f>
        <v>-11560473.261476</v>
      </c>
      <c r="BM371" s="68" t="n">
        <f aca="false">BM366+BM367+BM368+BM369+BM370</f>
        <v>-11763783.9862344</v>
      </c>
      <c r="BN371" s="68" t="n">
        <f aca="false">BN366+BN367+BN368+BN369+BN370</f>
        <v>-11967094.7109927</v>
      </c>
      <c r="BO371" s="68" t="n">
        <f aca="false">BO366+BO367+BO368+BO369+BO370</f>
        <v>-12170405.4357511</v>
      </c>
      <c r="BP371" s="68" t="n">
        <f aca="false">BP366+BP367+BP368+BP369+BP370</f>
        <v>-12373716.1605094</v>
      </c>
      <c r="BQ371" s="68" t="n">
        <f aca="false">BQ366+BQ367+BQ368+BQ369+BQ370</f>
        <v>-12577026.8852678</v>
      </c>
      <c r="BR371" s="68" t="n">
        <f aca="false">BR366+BR367+BR368+BR369+BR370</f>
        <v>-12727087.2600261</v>
      </c>
      <c r="BS371" s="68" t="n">
        <f aca="false">BS366+BS367+BS368+BS369+BS370</f>
        <v>-12930397.9847845</v>
      </c>
      <c r="BT371" s="68" t="n">
        <f aca="false">BT366+BT367+BT368+BT369+BT370</f>
        <v>-13133708.7095428</v>
      </c>
      <c r="BU371" s="68" t="n">
        <f aca="false">BU366+BU367+BU368+BU369+BU370</f>
        <v>-13269257.4343012</v>
      </c>
      <c r="BV371" s="68" t="n">
        <f aca="false">BV366+BV367+BV368+BV369+BV370</f>
        <v>-13472568.1590595</v>
      </c>
      <c r="BW371" s="68" t="n">
        <f aca="false">BW366+BW367+BW368+BW369+BW370</f>
        <v>-13675878.8838178</v>
      </c>
      <c r="BX371" s="68" t="n">
        <f aca="false">BX366+BX367+BX368+BX369+BX370</f>
        <v>-13811427.6085762</v>
      </c>
      <c r="BY371" s="68" t="n">
        <f aca="false">BY366+BY367+BY368+BY369+BY370</f>
        <v>-14018704.5478297</v>
      </c>
      <c r="BZ371" s="68" t="n">
        <f aca="false">BZ366+BZ367+BZ368+BZ369+BZ370</f>
        <v>-14225981.4870832</v>
      </c>
      <c r="CA371" s="68" t="n">
        <f aca="false">CA366+CA367+CA368+CA369+CA370</f>
        <v>-14365496.4263367</v>
      </c>
      <c r="CB371" s="68" t="n">
        <f aca="false">CB366+CB367+CB368+CB369+CB370</f>
        <v>-14572773.3655902</v>
      </c>
      <c r="CC371" s="68" t="n">
        <f aca="false">CC366+CC367+CC368+CC369+CC370</f>
        <v>-14780050.3048438</v>
      </c>
      <c r="CD371" s="68" t="n">
        <f aca="false">CD366+CD367+CD368+CD369+CD370</f>
        <v>-14910828.2440973</v>
      </c>
      <c r="CE371" s="68" t="n">
        <f aca="false">CE366+CE367+CE368+CE369+CE370</f>
        <v>-15118105.1833508</v>
      </c>
      <c r="CF371" s="68" t="n">
        <f aca="false">CF366+CF367+CF368+CF369+CF370</f>
        <v>-15325382.1226043</v>
      </c>
      <c r="CG371" s="68" t="n">
        <f aca="false">CG366+CG367+CG368+CG369+CG370</f>
        <v>-15456160.0618578</v>
      </c>
      <c r="CH371" s="68" t="n">
        <f aca="false">CH366+CH367+CH368+CH369+CH370</f>
        <v>-15663437.0011113</v>
      </c>
      <c r="CI371" s="68" t="n">
        <f aca="false">CI366+CI367+CI368+CI369+CI370</f>
        <v>-15870713.9403648</v>
      </c>
      <c r="CJ371" s="68" t="n">
        <f aca="false">CJ366+CJ367+CJ368+CJ369+CJ370</f>
        <v>-15994883.8530119</v>
      </c>
      <c r="CK371" s="68" t="n">
        <f aca="false">CK366+CK367+CK368+CK369+CK370</f>
        <v>-16048345.3310504</v>
      </c>
      <c r="CL371" s="68" t="n">
        <f aca="false">CL366+CL367+CL368+CL369+CL370</f>
        <v>-16101806.809089</v>
      </c>
      <c r="CM371" s="68" t="n">
        <f aca="false">CM366+CM367+CM368+CM369+CM370</f>
        <v>-16155268.2871276</v>
      </c>
      <c r="CN371" s="68" t="n">
        <f aca="false">CN366+CN367+CN368+CN369+CN370</f>
        <v>-16208729.7651662</v>
      </c>
      <c r="CO371" s="68" t="n">
        <f aca="false">CO366+CO367+CO368+CO369+CO370</f>
        <v>-16262191.2432048</v>
      </c>
      <c r="CP371" s="68" t="n">
        <f aca="false">CP366+CP367+CP368+CP369+CP370</f>
        <v>-16315652.7212434</v>
      </c>
      <c r="CQ371" s="68" t="n">
        <f aca="false">CQ366+CQ367+CQ368+CQ369+CQ370</f>
        <v>-16369114.1992819</v>
      </c>
      <c r="CR371" s="68" t="n">
        <f aca="false">CR366+CR367+CR368+CR369+CR370</f>
        <v>-16422575.6773205</v>
      </c>
      <c r="CS371" s="68" t="n">
        <f aca="false">CS366+CS367+CS368+CS369+CS370</f>
        <v>-16476037.1553591</v>
      </c>
      <c r="CT371" s="68" t="n">
        <f aca="false">CT366+CT367+CT368+CT369+CT370</f>
        <v>-16520476.6647164</v>
      </c>
      <c r="CU371" s="68" t="n">
        <f aca="false">CU366+CU367+CU368+CU369+CU370</f>
        <v>-16564916.1740736</v>
      </c>
      <c r="CV371" s="68" t="n">
        <f aca="false">CV366+CV367+CV368+CV369+CV370</f>
        <v>-16609355.6834309</v>
      </c>
      <c r="CW371" s="68" t="n">
        <f aca="false">CW366+CW367+CW368+CW369+CW370</f>
        <v>-16602033.0519117</v>
      </c>
      <c r="CX371" s="68" t="n">
        <f aca="false">CX366+CX367+CX368+CX369+CX370</f>
        <v>-16577263.5714561</v>
      </c>
      <c r="CY371" s="68" t="n">
        <f aca="false">CY366+CY367+CY368+CY369+CY370</f>
        <v>-16552494.0910005</v>
      </c>
      <c r="CZ371" s="68" t="n">
        <f aca="false">CZ366+CZ367+CZ368+CZ369+CZ370</f>
        <v>-16527724.6105449</v>
      </c>
      <c r="DA371" s="68" t="n">
        <f aca="false">DA366+DA367+DA368+DA369+DA370</f>
        <v>-16502955.1300893</v>
      </c>
      <c r="DB371" s="68" t="n">
        <f aca="false">DB366+DB367+DB368+DB369+DB370</f>
        <v>-16478185.6496337</v>
      </c>
      <c r="DC371" s="68" t="n">
        <f aca="false">DC366+DC367+DC368+DC369+DC370</f>
        <v>-16453416.1691781</v>
      </c>
      <c r="DD371" s="68" t="n">
        <f aca="false">DD366+DD367+DD368+DD369+DD370</f>
        <v>-16428646.6887225</v>
      </c>
      <c r="DE371" s="68" t="n">
        <f aca="false">DE366+DE367+DE368+DE369+DE370</f>
        <v>-16403877.2082669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1045446.6461911</v>
      </c>
      <c r="S374" s="13" t="n">
        <f aca="false">S355+S366</f>
        <v>307142.445178184</v>
      </c>
      <c r="T374" s="13" t="n">
        <f aca="false">T355+T366</f>
        <v>118311.447940788</v>
      </c>
      <c r="U374" s="13" t="n">
        <f aca="false">U355+U366</f>
        <v>-58727.3056137478</v>
      </c>
      <c r="V374" s="13" t="n">
        <f aca="false">V355+V366</f>
        <v>-44687.0411550254</v>
      </c>
      <c r="W374" s="13" t="n">
        <f aca="false">W355+W366</f>
        <v>307061.157350495</v>
      </c>
      <c r="X374" s="13" t="n">
        <f aca="false">X355+X366</f>
        <v>707861.339356017</v>
      </c>
      <c r="Y374" s="13" t="n">
        <f aca="false">Y355+Y366</f>
        <v>891857.007118594</v>
      </c>
      <c r="Z374" s="13" t="n">
        <f aca="false">Z355+Z366</f>
        <v>1366842.51429008</v>
      </c>
      <c r="AA374" s="13" t="n">
        <f aca="false">AA355+AA366</f>
        <v>1674313.95929619</v>
      </c>
      <c r="AB374" s="13" t="n">
        <f aca="false">AB355+AB366</f>
        <v>1952568.72874963</v>
      </c>
      <c r="AC374" s="13" t="n">
        <f aca="false">AC355+AC366</f>
        <v>2570318.88363716</v>
      </c>
      <c r="AD374" s="13" t="n">
        <f aca="false">AD355+AD366</f>
        <v>2868764.51472443</v>
      </c>
      <c r="AE374" s="13" t="n">
        <f aca="false">AE355+AE366</f>
        <v>2943706.48164507</v>
      </c>
      <c r="AF374" s="13" t="n">
        <f aca="false">AF355+AF366</f>
        <v>3133485.42266676</v>
      </c>
      <c r="AG374" s="13" t="n">
        <f aca="false">AG355+AG366</f>
        <v>2901960.84528891</v>
      </c>
      <c r="AH374" s="13" t="n">
        <f aca="false">AH355+AH366</f>
        <v>3495063.82819826</v>
      </c>
      <c r="AI374" s="13" t="n">
        <f aca="false">AI355+AI366</f>
        <v>3947866.53198175</v>
      </c>
      <c r="AJ374" s="13" t="n">
        <f aca="false">AJ355+AJ366</f>
        <v>4267091.94861102</v>
      </c>
      <c r="AK374" s="13" t="n">
        <f aca="false">AK355+AK366</f>
        <v>4795463.81201824</v>
      </c>
      <c r="AL374" s="13" t="n">
        <f aca="false">AL355+AL366</f>
        <v>5287866.20480815</v>
      </c>
      <c r="AM374" s="13" t="n">
        <f aca="false">AM355+AM366</f>
        <v>5454894.38106376</v>
      </c>
      <c r="AN374" s="13" t="n">
        <f aca="false">AN355+AN366</f>
        <v>5280722.47827156</v>
      </c>
      <c r="AO374" s="13" t="n">
        <f aca="false">AO355+AO366</f>
        <v>5464024.85274993</v>
      </c>
      <c r="AP374" s="13" t="n">
        <f aca="false">AP355+AP366</f>
        <v>5292981.14642349</v>
      </c>
      <c r="AQ374" s="13" t="n">
        <f aca="false">AQ355+AQ366</f>
        <v>5082008.83009706</v>
      </c>
      <c r="AR374" s="13" t="n">
        <f aca="false">AR355+AR366</f>
        <v>4877241.64630524</v>
      </c>
      <c r="AS374" s="13" t="n">
        <f aca="false">AS355+AS366</f>
        <v>4692089.8471288</v>
      </c>
      <c r="AT374" s="13" t="n">
        <f aca="false">AT355+AT366</f>
        <v>4509979.77958698</v>
      </c>
      <c r="AU374" s="13" t="n">
        <f aca="false">AU355+AU366</f>
        <v>4596346.40274637</v>
      </c>
      <c r="AV374" s="13" t="n">
        <f aca="false">AV355+AV366</f>
        <v>4848080.90120699</v>
      </c>
      <c r="AW374" s="13" t="n">
        <f aca="false">AW355+AW366</f>
        <v>4668251.09291198</v>
      </c>
      <c r="AX374" s="13" t="n">
        <f aca="false">AX355+AX366</f>
        <v>4218511.63151522</v>
      </c>
      <c r="AY374" s="13" t="n">
        <f aca="false">AY355+AY366</f>
        <v>3768772.17011846</v>
      </c>
      <c r="AZ374" s="13" t="n">
        <f aca="false">AZ355+AZ366</f>
        <v>3319032.7087217</v>
      </c>
      <c r="BA374" s="13" t="n">
        <f aca="false">BA355+BA366</f>
        <v>2869293.24732494</v>
      </c>
      <c r="BB374" s="13" t="n">
        <f aca="false">BB355+BB366</f>
        <v>2407663.46352374</v>
      </c>
      <c r="BC374" s="13" t="n">
        <f aca="false">BC355+BC366</f>
        <v>1946033.67972254</v>
      </c>
      <c r="BD374" s="13" t="n">
        <f aca="false">BD355+BD366</f>
        <v>1484403.89592135</v>
      </c>
      <c r="BE374" s="13" t="n">
        <f aca="false">BE355+BE366</f>
        <v>1022774.11212015</v>
      </c>
      <c r="BF374" s="13" t="n">
        <f aca="false">BF355+BF366</f>
        <v>561144.328318955</v>
      </c>
      <c r="BG374" s="13" t="n">
        <f aca="false">BG355+BG366</f>
        <v>99514.5445177592</v>
      </c>
      <c r="BH374" s="13" t="n">
        <f aca="false">BH355+BH366</f>
        <v>-362115.239283437</v>
      </c>
      <c r="BI374" s="13" t="n">
        <f aca="false">BI355+BI366</f>
        <v>-587255.561781814</v>
      </c>
      <c r="BJ374" s="13" t="n">
        <f aca="false">BJ355+BJ366</f>
        <v>-792066.088483986</v>
      </c>
      <c r="BK374" s="13" t="n">
        <f aca="false">BK355+BK366</f>
        <v>-1403472.5311103</v>
      </c>
      <c r="BL374" s="13" t="n">
        <f aca="false">BL355+BL366</f>
        <v>-2014878.97373662</v>
      </c>
      <c r="BM374" s="13" t="n">
        <f aca="false">BM355+BM366</f>
        <v>-2626285.41636294</v>
      </c>
      <c r="BN374" s="13" t="n">
        <f aca="false">BN355+BN366</f>
        <v>-3249819.98784178</v>
      </c>
      <c r="BO374" s="13" t="n">
        <f aca="false">BO355+BO366</f>
        <v>-3873354.55932063</v>
      </c>
      <c r="BP374" s="13" t="n">
        <f aca="false">BP355+BP366</f>
        <v>-4496889.13079947</v>
      </c>
      <c r="BQ374" s="13" t="n">
        <f aca="false">BQ355+BQ366</f>
        <v>-5120423.70227832</v>
      </c>
      <c r="BR374" s="13" t="n">
        <f aca="false">BR355+BR366</f>
        <v>-5743958.27375716</v>
      </c>
      <c r="BS374" s="13" t="n">
        <f aca="false">BS355+BS366</f>
        <v>-6314242.49523601</v>
      </c>
      <c r="BT374" s="13" t="n">
        <f aca="false">BT355+BT366</f>
        <v>-6937777.06671485</v>
      </c>
      <c r="BU374" s="13" t="n">
        <f aca="false">BU355+BU366</f>
        <v>-7561311.63819369</v>
      </c>
      <c r="BV374" s="13" t="n">
        <f aca="false">BV355+BV366</f>
        <v>-8117084.20967254</v>
      </c>
      <c r="BW374" s="13" t="n">
        <f aca="false">BW355+BW366</f>
        <v>-8740618.78115138</v>
      </c>
      <c r="BX374" s="13" t="n">
        <f aca="false">BX355+BX366</f>
        <v>-9364153.35263023</v>
      </c>
      <c r="BY374" s="13" t="n">
        <f aca="false">BY355+BY366</f>
        <v>-9919925.92410907</v>
      </c>
      <c r="BZ374" s="13" t="n">
        <f aca="false">BZ355+BZ366</f>
        <v>-10555831.1870175</v>
      </c>
      <c r="CA374" s="13" t="n">
        <f aca="false">CA355+CA366</f>
        <v>-11191736.4499259</v>
      </c>
      <c r="CB374" s="13" t="n">
        <f aca="false">CB355+CB366</f>
        <v>-11759879.7128343</v>
      </c>
      <c r="CC374" s="13" t="n">
        <f aca="false">CC355+CC366</f>
        <v>-12395784.9757428</v>
      </c>
      <c r="CD374" s="13" t="n">
        <f aca="false">CD355+CD366</f>
        <v>-13031690.2386512</v>
      </c>
      <c r="CE374" s="13" t="n">
        <f aca="false">CE355+CE366</f>
        <v>-13591096.5015596</v>
      </c>
      <c r="CF374" s="13" t="n">
        <f aca="false">CF355+CF366</f>
        <v>-14227001.764468</v>
      </c>
      <c r="CG374" s="13" t="n">
        <f aca="false">CG355+CG366</f>
        <v>-14862907.0273764</v>
      </c>
      <c r="CH374" s="13" t="n">
        <f aca="false">CH355+CH366</f>
        <v>-15422313.2902849</v>
      </c>
      <c r="CI374" s="13" t="n">
        <f aca="false">CI355+CI366</f>
        <v>-16058218.5531933</v>
      </c>
      <c r="CJ374" s="13" t="n">
        <f aca="false">CJ355+CJ366</f>
        <v>-16694123.8161017</v>
      </c>
      <c r="CK374" s="13" t="n">
        <f aca="false">CK355+CK366</f>
        <v>-17246922.0524037</v>
      </c>
      <c r="CL374" s="13" t="n">
        <f aca="false">CL355+CL366</f>
        <v>-17737584.4205702</v>
      </c>
      <c r="CM374" s="13" t="n">
        <f aca="false">CM355+CM366</f>
        <v>-18228246.7887368</v>
      </c>
      <c r="CN374" s="13" t="n">
        <f aca="false">CN355+CN366</f>
        <v>-18718909.1569034</v>
      </c>
      <c r="CO374" s="13" t="n">
        <f aca="false">CO355+CO366</f>
        <v>-19209571.52507</v>
      </c>
      <c r="CP374" s="13" t="n">
        <f aca="false">CP355+CP366</f>
        <v>-19700233.8932366</v>
      </c>
      <c r="CQ374" s="13" t="n">
        <f aca="false">CQ355+CQ366</f>
        <v>-20190896.2614032</v>
      </c>
      <c r="CR374" s="13" t="n">
        <f aca="false">CR355+CR366</f>
        <v>-20681558.6295698</v>
      </c>
      <c r="CS374" s="13" t="n">
        <f aca="false">CS355+CS366</f>
        <v>-21172220.9977364</v>
      </c>
      <c r="CT374" s="13" t="n">
        <f aca="false">CT355+CT366</f>
        <v>-21662883.365903</v>
      </c>
      <c r="CU374" s="13" t="n">
        <f aca="false">CU355+CU366</f>
        <v>-22092743.6057768</v>
      </c>
      <c r="CV374" s="13" t="n">
        <f aca="false">CV355+CV366</f>
        <v>-22522603.8456506</v>
      </c>
      <c r="CW374" s="13" t="n">
        <f aca="false">CW355+CW366</f>
        <v>-22952464.0855244</v>
      </c>
      <c r="CX374" s="13" t="n">
        <f aca="false">CX355+CX366</f>
        <v>-23338270.5991321</v>
      </c>
      <c r="CY374" s="13" t="n">
        <f aca="false">CY355+CY366</f>
        <v>-23706630.2638034</v>
      </c>
      <c r="CZ374" s="13" t="n">
        <f aca="false">CZ355+CZ366</f>
        <v>-24074989.9284747</v>
      </c>
      <c r="DA374" s="13" t="n">
        <f aca="false">DA355+DA366</f>
        <v>-24443349.593146</v>
      </c>
      <c r="DB374" s="13" t="n">
        <f aca="false">DB355+DB366</f>
        <v>-24811709.2578172</v>
      </c>
      <c r="DC374" s="13" t="n">
        <f aca="false">DC355+DC366</f>
        <v>-25180068.9224885</v>
      </c>
      <c r="DD374" s="13" t="n">
        <f aca="false">DD355+DD366</f>
        <v>-25548428.5871598</v>
      </c>
      <c r="DE374" s="13" t="n">
        <f aca="false">DE355+DE366</f>
        <v>-25916788.2518311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-1301005.06967513</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-2236231.79541582</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1045446.6461911</v>
      </c>
      <c r="R376" s="68" t="n">
        <f aca="false">R363+R371+R375</f>
        <v>307142.445178184</v>
      </c>
      <c r="S376" s="68" t="n">
        <f aca="false">S363+S371+S375</f>
        <v>118311.447940788</v>
      </c>
      <c r="T376" s="68" t="n">
        <f aca="false">T363+T371+T375</f>
        <v>-58727.3056137478</v>
      </c>
      <c r="U376" s="68" t="n">
        <f aca="false">U363+U371+U375</f>
        <v>-44687.0411550254</v>
      </c>
      <c r="V376" s="68" t="n">
        <f aca="false">V363+V371+V375</f>
        <v>307061.157350495</v>
      </c>
      <c r="W376" s="68" t="n">
        <f aca="false">W363+W371+W375</f>
        <v>707861.339356017</v>
      </c>
      <c r="X376" s="68" t="n">
        <f aca="false">X363+X371+X375</f>
        <v>891857.007118594</v>
      </c>
      <c r="Y376" s="68" t="n">
        <f aca="false">Y363+Y371+Y375</f>
        <v>1366842.51429008</v>
      </c>
      <c r="Z376" s="68" t="n">
        <f aca="false">Z363+Z371+Z375</f>
        <v>1674313.95929619</v>
      </c>
      <c r="AA376" s="68" t="n">
        <f aca="false">AA363+AA371+AA375</f>
        <v>1952568.72874963</v>
      </c>
      <c r="AB376" s="68" t="n">
        <f aca="false">AB363+AB371+AB375</f>
        <v>1269313.81396203</v>
      </c>
      <c r="AC376" s="68" t="n">
        <f aca="false">AC363+AC371+AC375</f>
        <v>2868764.51472443</v>
      </c>
      <c r="AD376" s="68" t="n">
        <f aca="false">AD363+AD371+AD375</f>
        <v>2943706.48164507</v>
      </c>
      <c r="AE376" s="68" t="n">
        <f aca="false">AE363+AE371+AE375</f>
        <v>3133485.42266676</v>
      </c>
      <c r="AF376" s="68" t="n">
        <f aca="false">AF363+AF371+AF375</f>
        <v>2901960.84528891</v>
      </c>
      <c r="AG376" s="68" t="n">
        <f aca="false">AG363+AG371+AG375</f>
        <v>3495063.82819826</v>
      </c>
      <c r="AH376" s="68" t="n">
        <f aca="false">AH363+AH371+AH375</f>
        <v>3947866.53198175</v>
      </c>
      <c r="AI376" s="68" t="n">
        <f aca="false">AI363+AI371+AI375</f>
        <v>4267091.94861102</v>
      </c>
      <c r="AJ376" s="68" t="n">
        <f aca="false">AJ363+AJ371+AJ375</f>
        <v>4795463.81201824</v>
      </c>
      <c r="AK376" s="68" t="n">
        <f aca="false">AK363+AK371+AK375</f>
        <v>5287866.20480815</v>
      </c>
      <c r="AL376" s="68" t="n">
        <f aca="false">AL363+AL371+AL375</f>
        <v>5454894.38106376</v>
      </c>
      <c r="AM376" s="68" t="n">
        <f aca="false">AM363+AM371+AM375</f>
        <v>5280722.47827156</v>
      </c>
      <c r="AN376" s="68" t="n">
        <f aca="false">AN363+AN371+AN375</f>
        <v>3227793.0573341</v>
      </c>
      <c r="AO376" s="68" t="n">
        <f aca="false">AO363+AO371+AO375</f>
        <v>5292981.14642349</v>
      </c>
      <c r="AP376" s="68" t="n">
        <f aca="false">AP363+AP371+AP375</f>
        <v>5082008.83009706</v>
      </c>
      <c r="AQ376" s="68" t="n">
        <f aca="false">AQ363+AQ371+AQ375</f>
        <v>4877241.64630524</v>
      </c>
      <c r="AR376" s="68" t="n">
        <f aca="false">AR363+AR371+AR375</f>
        <v>4692089.8471288</v>
      </c>
      <c r="AS376" s="68" t="n">
        <f aca="false">AS363+AS371+AS375</f>
        <v>4509979.77958698</v>
      </c>
      <c r="AT376" s="68" t="n">
        <f aca="false">AT363+AT371+AT375</f>
        <v>4596346.40274637</v>
      </c>
      <c r="AU376" s="68" t="n">
        <f aca="false">AU363+AU371+AU375</f>
        <v>4848080.90120699</v>
      </c>
      <c r="AV376" s="68" t="n">
        <f aca="false">AV363+AV371+AV375</f>
        <v>4668251.09291198</v>
      </c>
      <c r="AW376" s="68" t="n">
        <f aca="false">AW363+AW371+AW375</f>
        <v>4218511.63151522</v>
      </c>
      <c r="AX376" s="68" t="n">
        <f aca="false">AX363+AX371+AX375</f>
        <v>3768772.17011846</v>
      </c>
      <c r="AY376" s="68" t="n">
        <f aca="false">AY363+AY371+AY375</f>
        <v>3319032.7087217</v>
      </c>
      <c r="AZ376" s="68" t="n">
        <f aca="false">AZ363+AZ371+AZ375</f>
        <v>2869293.24732494</v>
      </c>
      <c r="BA376" s="68" t="n">
        <f aca="false">BA363+BA371+BA375</f>
        <v>2407663.46352374</v>
      </c>
      <c r="BB376" s="68" t="n">
        <f aca="false">BB363+BB371+BB375</f>
        <v>1946033.67972254</v>
      </c>
      <c r="BC376" s="68" t="n">
        <f aca="false">BC363+BC371+BC375</f>
        <v>1484403.89592135</v>
      </c>
      <c r="BD376" s="68" t="n">
        <f aca="false">BD363+BD371+BD375</f>
        <v>1022774.11212015</v>
      </c>
      <c r="BE376" s="68" t="n">
        <f aca="false">BE363+BE371+BE375</f>
        <v>561144.328318955</v>
      </c>
      <c r="BF376" s="68" t="n">
        <f aca="false">BF363+BF371+BF375</f>
        <v>99514.5445177592</v>
      </c>
      <c r="BG376" s="68" t="n">
        <f aca="false">BG363+BG371+BG375</f>
        <v>-362115.239283437</v>
      </c>
      <c r="BH376" s="68" t="n">
        <f aca="false">BH363+BH371+BH375</f>
        <v>-587255.561781814</v>
      </c>
      <c r="BI376" s="68" t="n">
        <f aca="false">BI363+BI371+BI375</f>
        <v>-792066.088483986</v>
      </c>
      <c r="BJ376" s="68" t="n">
        <f aca="false">BJ363+BJ371+BJ375</f>
        <v>-1403472.5311103</v>
      </c>
      <c r="BK376" s="68" t="n">
        <f aca="false">BK363+BK371+BK375</f>
        <v>-2014878.97373662</v>
      </c>
      <c r="BL376" s="68" t="n">
        <f aca="false">BL363+BL371+BL375</f>
        <v>-2626285.41636294</v>
      </c>
      <c r="BM376" s="68" t="n">
        <f aca="false">BM363+BM371+BM375</f>
        <v>-3249819.98784178</v>
      </c>
      <c r="BN376" s="68" t="n">
        <f aca="false">BN363+BN371+BN375</f>
        <v>-3873354.55932063</v>
      </c>
      <c r="BO376" s="68" t="n">
        <f aca="false">BO363+BO371+BO375</f>
        <v>-4496889.13079947</v>
      </c>
      <c r="BP376" s="68" t="n">
        <f aca="false">BP363+BP371+BP375</f>
        <v>-5120423.70227832</v>
      </c>
      <c r="BQ376" s="68" t="n">
        <f aca="false">BQ363+BQ371+BQ375</f>
        <v>-5743958.27375716</v>
      </c>
      <c r="BR376" s="68" t="n">
        <f aca="false">BR363+BR371+BR375</f>
        <v>-6314242.49523601</v>
      </c>
      <c r="BS376" s="68" t="n">
        <f aca="false">BS363+BS371+BS375</f>
        <v>-6937777.06671485</v>
      </c>
      <c r="BT376" s="68" t="n">
        <f aca="false">BT363+BT371+BT375</f>
        <v>-7561311.63819369</v>
      </c>
      <c r="BU376" s="68" t="n">
        <f aca="false">BU363+BU371+BU375</f>
        <v>-8117084.20967254</v>
      </c>
      <c r="BV376" s="68" t="n">
        <f aca="false">BV363+BV371+BV375</f>
        <v>-8740618.78115138</v>
      </c>
      <c r="BW376" s="68" t="n">
        <f aca="false">BW363+BW371+BW375</f>
        <v>-9364153.35263023</v>
      </c>
      <c r="BX376" s="68" t="n">
        <f aca="false">BX363+BX371+BX375</f>
        <v>-9919925.92410907</v>
      </c>
      <c r="BY376" s="68" t="n">
        <f aca="false">BY363+BY371+BY375</f>
        <v>-10555831.1870175</v>
      </c>
      <c r="BZ376" s="68" t="n">
        <f aca="false">BZ363+BZ371+BZ375</f>
        <v>-11191736.4499259</v>
      </c>
      <c r="CA376" s="68" t="n">
        <f aca="false">CA363+CA371+CA375</f>
        <v>-11759879.7128343</v>
      </c>
      <c r="CB376" s="68" t="n">
        <f aca="false">CB363+CB371+CB375</f>
        <v>-12395784.9757428</v>
      </c>
      <c r="CC376" s="68" t="n">
        <f aca="false">CC363+CC371+CC375</f>
        <v>-13031690.2386512</v>
      </c>
      <c r="CD376" s="68" t="n">
        <f aca="false">CD363+CD371+CD375</f>
        <v>-13591096.5015596</v>
      </c>
      <c r="CE376" s="68" t="n">
        <f aca="false">CE363+CE371+CE375</f>
        <v>-14227001.764468</v>
      </c>
      <c r="CF376" s="68" t="n">
        <f aca="false">CF363+CF371+CF375</f>
        <v>-14862907.0273764</v>
      </c>
      <c r="CG376" s="68" t="n">
        <f aca="false">CG363+CG371+CG375</f>
        <v>-15422313.2902849</v>
      </c>
      <c r="CH376" s="68" t="n">
        <f aca="false">CH363+CH371+CH375</f>
        <v>-16058218.5531933</v>
      </c>
      <c r="CI376" s="68" t="n">
        <f aca="false">CI363+CI371+CI375</f>
        <v>-16694123.8161017</v>
      </c>
      <c r="CJ376" s="68" t="n">
        <f aca="false">CJ363+CJ371+CJ375</f>
        <v>-17246922.0524037</v>
      </c>
      <c r="CK376" s="68" t="n">
        <f aca="false">CK363+CK371+CK375</f>
        <v>-17737584.4205702</v>
      </c>
      <c r="CL376" s="68" t="n">
        <f aca="false">CL363+CL371+CL375</f>
        <v>-18228246.7887368</v>
      </c>
      <c r="CM376" s="68" t="n">
        <f aca="false">CM363+CM371+CM375</f>
        <v>-18718909.1569034</v>
      </c>
      <c r="CN376" s="68" t="n">
        <f aca="false">CN363+CN371+CN375</f>
        <v>-19209571.52507</v>
      </c>
      <c r="CO376" s="68" t="n">
        <f aca="false">CO363+CO371+CO375</f>
        <v>-19700233.8932366</v>
      </c>
      <c r="CP376" s="68" t="n">
        <f aca="false">CP363+CP371+CP375</f>
        <v>-20190896.2614032</v>
      </c>
      <c r="CQ376" s="68" t="n">
        <f aca="false">CQ363+CQ371+CQ375</f>
        <v>-20681558.6295698</v>
      </c>
      <c r="CR376" s="68" t="n">
        <f aca="false">CR363+CR371+CR375</f>
        <v>-21172220.9977364</v>
      </c>
      <c r="CS376" s="68" t="n">
        <f aca="false">CS363+CS371+CS375</f>
        <v>-21662883.365903</v>
      </c>
      <c r="CT376" s="68" t="n">
        <f aca="false">CT363+CT371+CT375</f>
        <v>-22092743.6057768</v>
      </c>
      <c r="CU376" s="68" t="n">
        <f aca="false">CU363+CU371+CU375</f>
        <v>-22522603.8456506</v>
      </c>
      <c r="CV376" s="68" t="n">
        <f aca="false">CV363+CV371+CV375</f>
        <v>-22952464.0855244</v>
      </c>
      <c r="CW376" s="68" t="n">
        <f aca="false">CW363+CW371+CW375</f>
        <v>-23338270.5991321</v>
      </c>
      <c r="CX376" s="68" t="n">
        <f aca="false">CX363+CX371+CX375</f>
        <v>-23706630.2638034</v>
      </c>
      <c r="CY376" s="68" t="n">
        <f aca="false">CY363+CY371+CY375</f>
        <v>-24074989.9284747</v>
      </c>
      <c r="CZ376" s="68" t="n">
        <f aca="false">CZ363+CZ371+CZ375</f>
        <v>-24443349.593146</v>
      </c>
      <c r="DA376" s="68" t="n">
        <f aca="false">DA363+DA371+DA375</f>
        <v>-24811709.2578172</v>
      </c>
      <c r="DB376" s="68" t="n">
        <f aca="false">DB363+DB371+DB375</f>
        <v>-25180068.9224885</v>
      </c>
      <c r="DC376" s="68" t="n">
        <f aca="false">DC363+DC371+DC375</f>
        <v>-25548428.5871598</v>
      </c>
      <c r="DD376" s="68" t="n">
        <f aca="false">DD363+DD371+DD375</f>
        <v>-25916788.2518311</v>
      </c>
      <c r="DE376" s="68" t="n">
        <f aca="false">DE363+DE371+DE375</f>
        <v>-26285147.9165024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7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7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7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7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7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7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7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7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7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-937720.069032581</v>
      </c>
      <c r="R413" s="13" t="n">
        <f aca="false">IF(R$4="Actuals",IF(S$4="Actuals","",S366),R371)</f>
        <v>-1190490.6855589</v>
      </c>
      <c r="S413" s="13" t="n">
        <f aca="false">IF(S$4="Actuals",IF(T$4="Actuals","",T366),S371)</f>
        <v>-1443261.30208521</v>
      </c>
      <c r="T413" s="13" t="n">
        <f aca="false">IF(T$4="Actuals",IF(U$4="Actuals","",U366),T371)</f>
        <v>-1721538.16861153</v>
      </c>
      <c r="U413" s="13" t="n">
        <f aca="false">IF(U$4="Actuals",IF(V$4="Actuals","",V366),U371)</f>
        <v>-1998215.03513784</v>
      </c>
      <c r="V413" s="13" t="n">
        <f aca="false">IF(V$4="Actuals",IF(W$4="Actuals","",W366),V371)</f>
        <v>-2274891.90166416</v>
      </c>
      <c r="W413" s="13" t="n">
        <f aca="false">IF(W$4="Actuals",IF(X$4="Actuals","",X366),W371)</f>
        <v>-2551568.76819048</v>
      </c>
      <c r="X413" s="13" t="n">
        <f aca="false">IF(X$4="Actuals",IF(Y$4="Actuals","",Y366),X371)</f>
        <v>-2828784.43471679</v>
      </c>
      <c r="Y413" s="13" t="n">
        <f aca="false">IF(Y$4="Actuals",IF(Z$4="Actuals","",Z366),Y371)</f>
        <v>-3048625.10124311</v>
      </c>
      <c r="Z413" s="13" t="n">
        <f aca="false">IF(Z$4="Actuals",IF(AA$4="Actuals","",AA366),Z371)</f>
        <v>-3333017.76776942</v>
      </c>
      <c r="AA413" s="13" t="n">
        <f aca="false">IF(AA$4="Actuals",IF(AB$4="Actuals","",AB366),AA371)</f>
        <v>-3867410.43429574</v>
      </c>
      <c r="AB413" s="13" t="n">
        <f aca="false">IF(AB$4="Actuals",IF(AC$4="Actuals","",AC366),AB371)</f>
        <v>-4094428.10082206</v>
      </c>
      <c r="AC413" s="13" t="n">
        <f aca="false">IF(AC$4="Actuals",IF(AD$4="Actuals","",AD366),AC371)</f>
        <v>-4382484.93646837</v>
      </c>
      <c r="AD413" s="13" t="n">
        <f aca="false">IF(AD$4="Actuals",IF(AE$4="Actuals","",AE366),AD371)</f>
        <v>-4670541.77211469</v>
      </c>
      <c r="AE413" s="13" t="n">
        <f aca="false">IF(AE$4="Actuals",IF(AF$4="Actuals","",AF366),AE371)</f>
        <v>-4881205.0380396</v>
      </c>
      <c r="AF413" s="13" t="n">
        <f aca="false">IF(AF$4="Actuals",IF(AG$4="Actuals","",AG366),AF371)</f>
        <v>-5057261.87368592</v>
      </c>
      <c r="AG413" s="13" t="n">
        <f aca="false">IF(AG$4="Actuals",IF(AH$4="Actuals","",AH366),AG371)</f>
        <v>-5236476.60406907</v>
      </c>
      <c r="AH413" s="13" t="n">
        <f aca="false">IF(AH$4="Actuals",IF(AI$4="Actuals","",AI366),AH371)</f>
        <v>-5418849.22918907</v>
      </c>
      <c r="AI413" s="13" t="n">
        <f aca="false">IF(AI$4="Actuals",IF(AJ$4="Actuals","",AJ366),AI371)</f>
        <v>-5610721.85430907</v>
      </c>
      <c r="AJ413" s="13" t="n">
        <f aca="false">IF(AJ$4="Actuals",IF(AK$4="Actuals","",AK366),AJ371)</f>
        <v>-5802594.47942907</v>
      </c>
      <c r="AK413" s="13" t="n">
        <f aca="false">IF(AK$4="Actuals",IF(AL$4="Actuals","",AL366),AK371)</f>
        <v>-5994467.10454907</v>
      </c>
      <c r="AL413" s="13" t="n">
        <f aca="false">IF(AL$4="Actuals",IF(AM$4="Actuals","",AM366),AL371)</f>
        <v>-6186339.72966907</v>
      </c>
      <c r="AM413" s="13" t="n">
        <f aca="false">IF(AM$4="Actuals",IF(AN$4="Actuals","",AN366),AM371)</f>
        <v>-6628212.35478907</v>
      </c>
      <c r="AN413" s="13" t="n">
        <f aca="false">IF(AN$4="Actuals",IF(AO$4="Actuals","",AO366),AN371)</f>
        <v>-6820084.97990907</v>
      </c>
      <c r="AO413" s="13" t="n">
        <f aca="false">IF(AO$4="Actuals",IF(AP$4="Actuals","",AP366),AO371)</f>
        <v>-7015695.05753147</v>
      </c>
      <c r="AP413" s="13" t="n">
        <f aca="false">IF(AP$4="Actuals",IF(AQ$4="Actuals","",AQ366),AP371)</f>
        <v>-7211305.13515387</v>
      </c>
      <c r="AQ413" s="13" t="n">
        <f aca="false">IF(AQ$4="Actuals",IF(AR$4="Actuals","",AR366),AQ371)</f>
        <v>-7406915.21277627</v>
      </c>
      <c r="AR413" s="13" t="n">
        <f aca="false">IF(AR$4="Actuals",IF(AS$4="Actuals","",AS366),AR371)</f>
        <v>-7602525.29039867</v>
      </c>
      <c r="AS413" s="13" t="n">
        <f aca="false">IF(AS$4="Actuals",IF(AT$4="Actuals","",AT366),AS371)</f>
        <v>-7798135.36802107</v>
      </c>
      <c r="AT413" s="13" t="n">
        <f aca="false">IF(AT$4="Actuals",IF(AU$4="Actuals","",AU366),AT371)</f>
        <v>-7993745.44564347</v>
      </c>
      <c r="AU413" s="13" t="n">
        <f aca="false">IF(AU$4="Actuals",IF(AV$4="Actuals","",AV366),AU371)</f>
        <v>-8189355.52326587</v>
      </c>
      <c r="AV413" s="13" t="n">
        <f aca="false">IF(AV$4="Actuals",IF(AW$4="Actuals","",AW366),AV371)</f>
        <v>-8384965.60088827</v>
      </c>
      <c r="AW413" s="13" t="n">
        <f aca="false">IF(AW$4="Actuals",IF(AX$4="Actuals","",AX366),AW371)</f>
        <v>-8580575.67851067</v>
      </c>
      <c r="AX413" s="13" t="n">
        <f aca="false">IF(AX$4="Actuals",IF(AY$4="Actuals","",AY366),AX371)</f>
        <v>-8776185.75613307</v>
      </c>
      <c r="AY413" s="13" t="n">
        <f aca="false">IF(AY$4="Actuals",IF(AZ$4="Actuals","",AZ366),AY371)</f>
        <v>-8971795.83375547</v>
      </c>
      <c r="AZ413" s="13" t="n">
        <f aca="false">IF(AZ$4="Actuals",IF(BA$4="Actuals","",BA366),AZ371)</f>
        <v>-9167405.91137787</v>
      </c>
      <c r="BA413" s="13" t="n">
        <f aca="false">IF(BA$4="Actuals",IF(BB$4="Actuals","",BB366),BA371)</f>
        <v>-9366828.19055272</v>
      </c>
      <c r="BB413" s="13" t="n">
        <f aca="false">IF(BB$4="Actuals",IF(BC$4="Actuals","",BC366),BB371)</f>
        <v>-9566250.46972757</v>
      </c>
      <c r="BC413" s="13" t="n">
        <f aca="false">IF(BC$4="Actuals",IF(BD$4="Actuals","",BD366),BC371)</f>
        <v>-9765672.74890241</v>
      </c>
      <c r="BD413" s="13" t="n">
        <f aca="false">IF(BD$4="Actuals",IF(BE$4="Actuals","",BE366),BD371)</f>
        <v>-9965095.02807726</v>
      </c>
      <c r="BE413" s="13" t="n">
        <f aca="false">IF(BE$4="Actuals",IF(BF$4="Actuals","",BF366),BE371)</f>
        <v>-10164517.3072521</v>
      </c>
      <c r="BF413" s="13" t="n">
        <f aca="false">IF(BF$4="Actuals",IF(BG$4="Actuals","",BG366),BF371)</f>
        <v>-10363939.586427</v>
      </c>
      <c r="BG413" s="13" t="n">
        <f aca="false">IF(BG$4="Actuals",IF(BH$4="Actuals","",BH366),BG371)</f>
        <v>-10563361.8656018</v>
      </c>
      <c r="BH413" s="13" t="n">
        <f aca="false">IF(BH$4="Actuals",IF(BI$4="Actuals","",BI366),BH371)</f>
        <v>-10762784.1447767</v>
      </c>
      <c r="BI413" s="13" t="n">
        <f aca="false">IF(BI$4="Actuals",IF(BJ$4="Actuals","",BJ366),BI371)</f>
        <v>-10962206.4239515</v>
      </c>
      <c r="BJ413" s="13" t="n">
        <f aca="false">IF(BJ$4="Actuals",IF(BK$4="Actuals","",BK366),BJ371)</f>
        <v>-11161628.7031263</v>
      </c>
      <c r="BK413" s="13" t="n">
        <f aca="false">IF(BK$4="Actuals",IF(BL$4="Actuals","",BL366),BK371)</f>
        <v>-11361050.9823012</v>
      </c>
      <c r="BL413" s="13" t="n">
        <f aca="false">IF(BL$4="Actuals",IF(BM$4="Actuals","",BM366),BL371)</f>
        <v>-11560473.261476</v>
      </c>
      <c r="BM413" s="13" t="n">
        <f aca="false">IF(BM$4="Actuals",IF(BN$4="Actuals","",BN366),BM371)</f>
        <v>-11763783.9862344</v>
      </c>
      <c r="BN413" s="13" t="n">
        <f aca="false">IF(BN$4="Actuals",IF(BO$4="Actuals","",BO366),BN371)</f>
        <v>-11967094.7109927</v>
      </c>
      <c r="BO413" s="13" t="n">
        <f aca="false">IF(BO$4="Actuals",IF(BP$4="Actuals","",BP366),BO371)</f>
        <v>-12170405.4357511</v>
      </c>
      <c r="BP413" s="13" t="n">
        <f aca="false">IF(BP$4="Actuals",IF(BQ$4="Actuals","",BQ366),BP371)</f>
        <v>-12373716.1605094</v>
      </c>
      <c r="BQ413" s="13" t="n">
        <f aca="false">IF(BQ$4="Actuals",IF(BR$4="Actuals","",BR366),BQ371)</f>
        <v>-12577026.8852678</v>
      </c>
      <c r="BR413" s="13" t="n">
        <f aca="false">IF(BR$4="Actuals",IF(BS$4="Actuals","",BS366),BR371)</f>
        <v>-12727087.2600261</v>
      </c>
      <c r="BS413" s="13" t="n">
        <f aca="false">IF(BS$4="Actuals",IF(BT$4="Actuals","",BT366),BS371)</f>
        <v>-12930397.9847845</v>
      </c>
      <c r="BT413" s="13" t="n">
        <f aca="false">IF(BT$4="Actuals",IF(BU$4="Actuals","",BU366),BT371)</f>
        <v>-13133708.7095428</v>
      </c>
      <c r="BU413" s="13" t="n">
        <f aca="false">IF(BU$4="Actuals",IF(BV$4="Actuals","",BV366),BU371)</f>
        <v>-13269257.4343012</v>
      </c>
      <c r="BV413" s="13" t="n">
        <f aca="false">IF(BV$4="Actuals",IF(BW$4="Actuals","",BW366),BV371)</f>
        <v>-13472568.1590595</v>
      </c>
      <c r="BW413" s="13" t="n">
        <f aca="false">IF(BW$4="Actuals",IF(BX$4="Actuals","",BX366),BW371)</f>
        <v>-13675878.8838178</v>
      </c>
      <c r="BX413" s="13" t="n">
        <f aca="false">IF(BX$4="Actuals",IF(BY$4="Actuals","",BY366),BX371)</f>
        <v>-13811427.6085762</v>
      </c>
      <c r="BY413" s="13" t="n">
        <f aca="false">IF(BY$4="Actuals",IF(BZ$4="Actuals","",BZ366),BY371)</f>
        <v>-14018704.5478297</v>
      </c>
      <c r="BZ413" s="13" t="n">
        <f aca="false">IF(BZ$4="Actuals",IF(CA$4="Actuals","",CA366),BZ371)</f>
        <v>-14225981.4870832</v>
      </c>
      <c r="CA413" s="13" t="n">
        <f aca="false">IF(CA$4="Actuals",IF(CB$4="Actuals","",CB366),CA371)</f>
        <v>-14365496.4263367</v>
      </c>
      <c r="CB413" s="13" t="n">
        <f aca="false">IF(CB$4="Actuals",IF(CC$4="Actuals","",CC366),CB371)</f>
        <v>-14572773.3655902</v>
      </c>
      <c r="CC413" s="13" t="n">
        <f aca="false">IF(CC$4="Actuals",IF(CD$4="Actuals","",CD366),CC371)</f>
        <v>-14780050.3048438</v>
      </c>
      <c r="CD413" s="13" t="n">
        <f aca="false">IF(CD$4="Actuals",IF(CE$4="Actuals","",CE366),CD371)</f>
        <v>-14910828.2440973</v>
      </c>
      <c r="CE413" s="13" t="n">
        <f aca="false">IF(CE$4="Actuals",IF(CF$4="Actuals","",CF366),CE371)</f>
        <v>-15118105.1833508</v>
      </c>
      <c r="CF413" s="13" t="n">
        <f aca="false">IF(CF$4="Actuals",IF(CG$4="Actuals","",CG366),CF371)</f>
        <v>-15325382.1226043</v>
      </c>
      <c r="CG413" s="13" t="n">
        <f aca="false">IF(CG$4="Actuals",IF(CH$4="Actuals","",CH366),CG371)</f>
        <v>-15456160.0618578</v>
      </c>
      <c r="CH413" s="13" t="n">
        <f aca="false">IF(CH$4="Actuals",IF(CI$4="Actuals","",CI366),CH371)</f>
        <v>-15663437.0011113</v>
      </c>
      <c r="CI413" s="13" t="n">
        <f aca="false">IF(CI$4="Actuals",IF(CJ$4="Actuals","",CJ366),CI371)</f>
        <v>-15870713.9403648</v>
      </c>
      <c r="CJ413" s="13" t="n">
        <f aca="false">IF(CJ$4="Actuals",IF(CK$4="Actuals","",CK366),CJ371)</f>
        <v>-15994883.8530119</v>
      </c>
      <c r="CK413" s="13" t="n">
        <f aca="false">IF(CK$4="Actuals",IF(CL$4="Actuals","",CL366),CK371)</f>
        <v>-16048345.3310504</v>
      </c>
      <c r="CL413" s="13" t="n">
        <f aca="false">IF(CL$4="Actuals",IF(CM$4="Actuals","",CM366),CL371)</f>
        <v>-16101806.809089</v>
      </c>
      <c r="CM413" s="13" t="n">
        <f aca="false">IF(CM$4="Actuals",IF(CN$4="Actuals","",CN366),CM371)</f>
        <v>-16155268.2871276</v>
      </c>
      <c r="CN413" s="13" t="n">
        <f aca="false">IF(CN$4="Actuals",IF(CO$4="Actuals","",CO366),CN371)</f>
        <v>-16208729.7651662</v>
      </c>
      <c r="CO413" s="13" t="n">
        <f aca="false">IF(CO$4="Actuals",IF(CP$4="Actuals","",CP366),CO371)</f>
        <v>-16262191.2432048</v>
      </c>
      <c r="CP413" s="13" t="n">
        <f aca="false">IF(CP$4="Actuals",IF(CQ$4="Actuals","",CQ366),CP371)</f>
        <v>-16315652.7212434</v>
      </c>
      <c r="CQ413" s="13" t="n">
        <f aca="false">IF(CQ$4="Actuals",IF(CR$4="Actuals","",CR366),CQ371)</f>
        <v>-16369114.1992819</v>
      </c>
      <c r="CR413" s="13" t="n">
        <f aca="false">IF(CR$4="Actuals",IF(CS$4="Actuals","",CS366),CR371)</f>
        <v>-16422575.6773205</v>
      </c>
      <c r="CS413" s="13" t="n">
        <f aca="false">IF(CS$4="Actuals",IF(CT$4="Actuals","",CT366),CS371)</f>
        <v>-16476037.1553591</v>
      </c>
      <c r="CT413" s="13" t="n">
        <f aca="false">IF(CT$4="Actuals",IF(CU$4="Actuals","",CU366),CT371)</f>
        <v>-16520476.6647164</v>
      </c>
      <c r="CU413" s="13" t="n">
        <f aca="false">IF(CU$4="Actuals",IF(CV$4="Actuals","",CV366),CU371)</f>
        <v>-16564916.1740736</v>
      </c>
      <c r="CV413" s="13" t="n">
        <f aca="false">IF(CV$4="Actuals",IF(CW$4="Actuals","",CW366),CV371)</f>
        <v>-16609355.6834309</v>
      </c>
      <c r="CW413" s="13" t="n">
        <f aca="false">IF(CW$4="Actuals",IF(CX$4="Actuals","",CX366),CW371)</f>
        <v>-16602033.0519117</v>
      </c>
      <c r="CX413" s="13" t="n">
        <f aca="false">IF(CX$4="Actuals",IF(CY$4="Actuals","",CY366),CX371)</f>
        <v>-16577263.5714561</v>
      </c>
      <c r="CY413" s="13" t="n">
        <f aca="false">IF(CY$4="Actuals",IF(CZ$4="Actuals","",CZ366),CY371)</f>
        <v>-16552494.0910005</v>
      </c>
      <c r="CZ413" s="13" t="n">
        <f aca="false">IF(CZ$4="Actuals",IF(DA$4="Actuals","",DA366),CZ371)</f>
        <v>-16527724.6105449</v>
      </c>
      <c r="DA413" s="13" t="n">
        <f aca="false">IF(DA$4="Actuals",IF(DB$4="Actuals","",DB366),DA371)</f>
        <v>-16502955.1300893</v>
      </c>
      <c r="DB413" s="13" t="n">
        <f aca="false">IF(DB$4="Actuals",IF(DC$4="Actuals","",DC366),DB371)</f>
        <v>-16478185.6496337</v>
      </c>
      <c r="DC413" s="13" t="n">
        <f aca="false">IF(DC$4="Actuals",IF(DD$4="Actuals","",DD366),DC371)</f>
        <v>-16453416.1691781</v>
      </c>
      <c r="DD413" s="13" t="n">
        <f aca="false">IF(DD$4="Actuals",IF(DE$4="Actuals","",DE366),DD371)</f>
        <v>-16428646.6887225</v>
      </c>
      <c r="DE413" s="13" t="n">
        <f aca="false">IF(DE$4="Actuals",IF(DF$4="Actuals","",DF366),DE371)</f>
        <v>-16403877.2082669</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1045446.6461911</v>
      </c>
      <c r="R421" s="13" t="n">
        <f aca="false">IF(R$4="Actuals",IF(S$4="Actuals","",S374),R376)</f>
        <v>307142.445178184</v>
      </c>
      <c r="S421" s="13" t="n">
        <f aca="false">IF(S$4="Actuals",IF(T$4="Actuals","",T374),S376)</f>
        <v>118311.447940788</v>
      </c>
      <c r="T421" s="13" t="n">
        <f aca="false">IF(T$4="Actuals",IF(U$4="Actuals","",U374),T376)</f>
        <v>-58727.3056137478</v>
      </c>
      <c r="U421" s="13" t="n">
        <f aca="false">IF(U$4="Actuals",IF(V$4="Actuals","",V374),U376)</f>
        <v>-44687.0411550254</v>
      </c>
      <c r="V421" s="13" t="n">
        <f aca="false">IF(V$4="Actuals",IF(W$4="Actuals","",W374),V376)</f>
        <v>307061.157350495</v>
      </c>
      <c r="W421" s="13" t="n">
        <f aca="false">IF(W$4="Actuals",IF(X$4="Actuals","",X374),W376)</f>
        <v>707861.339356017</v>
      </c>
      <c r="X421" s="13" t="n">
        <f aca="false">IF(X$4="Actuals",IF(Y$4="Actuals","",Y374),X376)</f>
        <v>891857.007118594</v>
      </c>
      <c r="Y421" s="13" t="n">
        <f aca="false">IF(Y$4="Actuals",IF(Z$4="Actuals","",Z374),Y376)</f>
        <v>1366842.51429008</v>
      </c>
      <c r="Z421" s="13" t="n">
        <f aca="false">IF(Z$4="Actuals",IF(AA$4="Actuals","",AA374),Z376)</f>
        <v>1674313.95929619</v>
      </c>
      <c r="AA421" s="13" t="n">
        <f aca="false">IF(AA$4="Actuals",IF(AB$4="Actuals","",AB374),AA376)</f>
        <v>1952568.72874963</v>
      </c>
      <c r="AB421" s="13" t="n">
        <f aca="false">IF(AB$4="Actuals",IF(AC$4="Actuals","",AC374),AB376)</f>
        <v>1269313.81396203</v>
      </c>
      <c r="AC421" s="13" t="n">
        <f aca="false">IF(AC$4="Actuals",IF(AD$4="Actuals","",AD374),AC376)</f>
        <v>2868764.51472443</v>
      </c>
      <c r="AD421" s="13" t="n">
        <f aca="false">IF(AD$4="Actuals",IF(AE$4="Actuals","",AE374),AD376)</f>
        <v>2943706.48164507</v>
      </c>
      <c r="AE421" s="13" t="n">
        <f aca="false">IF(AE$4="Actuals",IF(AF$4="Actuals","",AF374),AE376)</f>
        <v>3133485.42266676</v>
      </c>
      <c r="AF421" s="13" t="n">
        <f aca="false">IF(AF$4="Actuals",IF(AG$4="Actuals","",AG374),AF376)</f>
        <v>2901960.84528891</v>
      </c>
      <c r="AG421" s="13" t="n">
        <f aca="false">IF(AG$4="Actuals",IF(AH$4="Actuals","",AH374),AG376)</f>
        <v>3495063.82819826</v>
      </c>
      <c r="AH421" s="13" t="n">
        <f aca="false">IF(AH$4="Actuals",IF(AI$4="Actuals","",AI374),AH376)</f>
        <v>3947866.53198175</v>
      </c>
      <c r="AI421" s="13" t="n">
        <f aca="false">IF(AI$4="Actuals",IF(AJ$4="Actuals","",AJ374),AI376)</f>
        <v>4267091.94861102</v>
      </c>
      <c r="AJ421" s="13" t="n">
        <f aca="false">IF(AJ$4="Actuals",IF(AK$4="Actuals","",AK374),AJ376)</f>
        <v>4795463.81201824</v>
      </c>
      <c r="AK421" s="13" t="n">
        <f aca="false">IF(AK$4="Actuals",IF(AL$4="Actuals","",AL374),AK376)</f>
        <v>5287866.20480815</v>
      </c>
      <c r="AL421" s="13" t="n">
        <f aca="false">IF(AL$4="Actuals",IF(AM$4="Actuals","",AM374),AL376)</f>
        <v>5454894.38106376</v>
      </c>
      <c r="AM421" s="13" t="n">
        <f aca="false">IF(AM$4="Actuals",IF(AN$4="Actuals","",AN374),AM376)</f>
        <v>5280722.47827156</v>
      </c>
      <c r="AN421" s="13" t="n">
        <f aca="false">IF(AN$4="Actuals",IF(AO$4="Actuals","",AO374),AN376)</f>
        <v>3227793.0573341</v>
      </c>
      <c r="AO421" s="13" t="n">
        <f aca="false">IF(AO$4="Actuals",IF(AP$4="Actuals","",AP374),AO376)</f>
        <v>5292981.14642349</v>
      </c>
      <c r="AP421" s="13" t="n">
        <f aca="false">IF(AP$4="Actuals",IF(AQ$4="Actuals","",AQ374),AP376)</f>
        <v>5082008.83009706</v>
      </c>
      <c r="AQ421" s="13" t="n">
        <f aca="false">IF(AQ$4="Actuals",IF(AR$4="Actuals","",AR374),AQ376)</f>
        <v>4877241.64630524</v>
      </c>
      <c r="AR421" s="13" t="n">
        <f aca="false">IF(AR$4="Actuals",IF(AS$4="Actuals","",AS374),AR376)</f>
        <v>4692089.8471288</v>
      </c>
      <c r="AS421" s="13" t="n">
        <f aca="false">IF(AS$4="Actuals",IF(AT$4="Actuals","",AT374),AS376)</f>
        <v>4509979.77958698</v>
      </c>
      <c r="AT421" s="13" t="n">
        <f aca="false">IF(AT$4="Actuals",IF(AU$4="Actuals","",AU374),AT376)</f>
        <v>4596346.40274637</v>
      </c>
      <c r="AU421" s="13" t="n">
        <f aca="false">IF(AU$4="Actuals",IF(AV$4="Actuals","",AV374),AU376)</f>
        <v>4848080.90120699</v>
      </c>
      <c r="AV421" s="13" t="n">
        <f aca="false">IF(AV$4="Actuals",IF(AW$4="Actuals","",AW374),AV376)</f>
        <v>4668251.09291198</v>
      </c>
      <c r="AW421" s="13" t="n">
        <f aca="false">IF(AW$4="Actuals",IF(AX$4="Actuals","",AX374),AW376)</f>
        <v>4218511.63151522</v>
      </c>
      <c r="AX421" s="13" t="n">
        <f aca="false">IF(AX$4="Actuals",IF(AY$4="Actuals","",AY374),AX376)</f>
        <v>3768772.17011846</v>
      </c>
      <c r="AY421" s="13" t="n">
        <f aca="false">IF(AY$4="Actuals",IF(AZ$4="Actuals","",AZ374),AY376)</f>
        <v>3319032.7087217</v>
      </c>
      <c r="AZ421" s="13" t="n">
        <f aca="false">IF(AZ$4="Actuals",IF(BA$4="Actuals","",BA374),AZ376)</f>
        <v>2869293.24732494</v>
      </c>
      <c r="BA421" s="13" t="n">
        <f aca="false">IF(BA$4="Actuals",IF(BB$4="Actuals","",BB374),BA376)</f>
        <v>2407663.46352374</v>
      </c>
      <c r="BB421" s="13" t="n">
        <f aca="false">IF(BB$4="Actuals",IF(BC$4="Actuals","",BC374),BB376)</f>
        <v>1946033.67972254</v>
      </c>
      <c r="BC421" s="13" t="n">
        <f aca="false">IF(BC$4="Actuals",IF(BD$4="Actuals","",BD374),BC376)</f>
        <v>1484403.89592135</v>
      </c>
      <c r="BD421" s="13" t="n">
        <f aca="false">IF(BD$4="Actuals",IF(BE$4="Actuals","",BE374),BD376)</f>
        <v>1022774.11212015</v>
      </c>
      <c r="BE421" s="13" t="n">
        <f aca="false">IF(BE$4="Actuals",IF(BF$4="Actuals","",BF374),BE376)</f>
        <v>561144.328318955</v>
      </c>
      <c r="BF421" s="13" t="n">
        <f aca="false">IF(BF$4="Actuals",IF(BG$4="Actuals","",BG374),BF376)</f>
        <v>99514.5445177592</v>
      </c>
      <c r="BG421" s="13" t="n">
        <f aca="false">IF(BG$4="Actuals",IF(BH$4="Actuals","",BH374),BG376)</f>
        <v>-362115.239283437</v>
      </c>
      <c r="BH421" s="13" t="n">
        <f aca="false">IF(BH$4="Actuals",IF(BI$4="Actuals","",BI374),BH376)</f>
        <v>-587255.561781814</v>
      </c>
      <c r="BI421" s="13" t="n">
        <f aca="false">IF(BI$4="Actuals",IF(BJ$4="Actuals","",BJ374),BI376)</f>
        <v>-792066.088483986</v>
      </c>
      <c r="BJ421" s="13" t="n">
        <f aca="false">IF(BJ$4="Actuals",IF(BK$4="Actuals","",BK374),BJ376)</f>
        <v>-1403472.5311103</v>
      </c>
      <c r="BK421" s="13" t="n">
        <f aca="false">IF(BK$4="Actuals",IF(BL$4="Actuals","",BL374),BK376)</f>
        <v>-2014878.97373662</v>
      </c>
      <c r="BL421" s="13" t="n">
        <f aca="false">IF(BL$4="Actuals",IF(BM$4="Actuals","",BM374),BL376)</f>
        <v>-2626285.41636294</v>
      </c>
      <c r="BM421" s="13" t="n">
        <f aca="false">IF(BM$4="Actuals",IF(BN$4="Actuals","",BN374),BM376)</f>
        <v>-3249819.98784178</v>
      </c>
      <c r="BN421" s="13" t="n">
        <f aca="false">IF(BN$4="Actuals",IF(BO$4="Actuals","",BO374),BN376)</f>
        <v>-3873354.55932063</v>
      </c>
      <c r="BO421" s="13" t="n">
        <f aca="false">IF(BO$4="Actuals",IF(BP$4="Actuals","",BP374),BO376)</f>
        <v>-4496889.13079947</v>
      </c>
      <c r="BP421" s="13" t="n">
        <f aca="false">IF(BP$4="Actuals",IF(BQ$4="Actuals","",BQ374),BP376)</f>
        <v>-5120423.70227832</v>
      </c>
      <c r="BQ421" s="13" t="n">
        <f aca="false">IF(BQ$4="Actuals",IF(BR$4="Actuals","",BR374),BQ376)</f>
        <v>-5743958.27375716</v>
      </c>
      <c r="BR421" s="13" t="n">
        <f aca="false">IF(BR$4="Actuals",IF(BS$4="Actuals","",BS374),BR376)</f>
        <v>-6314242.49523601</v>
      </c>
      <c r="BS421" s="13" t="n">
        <f aca="false">IF(BS$4="Actuals",IF(BT$4="Actuals","",BT374),BS376)</f>
        <v>-6937777.06671485</v>
      </c>
      <c r="BT421" s="13" t="n">
        <f aca="false">IF(BT$4="Actuals",IF(BU$4="Actuals","",BU374),BT376)</f>
        <v>-7561311.63819369</v>
      </c>
      <c r="BU421" s="13" t="n">
        <f aca="false">IF(BU$4="Actuals",IF(BV$4="Actuals","",BV374),BU376)</f>
        <v>-8117084.20967254</v>
      </c>
      <c r="BV421" s="13" t="n">
        <f aca="false">IF(BV$4="Actuals",IF(BW$4="Actuals","",BW374),BV376)</f>
        <v>-8740618.78115138</v>
      </c>
      <c r="BW421" s="13" t="n">
        <f aca="false">IF(BW$4="Actuals",IF(BX$4="Actuals","",BX374),BW376)</f>
        <v>-9364153.35263023</v>
      </c>
      <c r="BX421" s="13" t="n">
        <f aca="false">IF(BX$4="Actuals",IF(BY$4="Actuals","",BY374),BX376)</f>
        <v>-9919925.92410907</v>
      </c>
      <c r="BY421" s="13" t="n">
        <f aca="false">IF(BY$4="Actuals",IF(BZ$4="Actuals","",BZ374),BY376)</f>
        <v>-10555831.1870175</v>
      </c>
      <c r="BZ421" s="13" t="n">
        <f aca="false">IF(BZ$4="Actuals",IF(CA$4="Actuals","",CA374),BZ376)</f>
        <v>-11191736.4499259</v>
      </c>
      <c r="CA421" s="13" t="n">
        <f aca="false">IF(CA$4="Actuals",IF(CB$4="Actuals","",CB374),CA376)</f>
        <v>-11759879.7128343</v>
      </c>
      <c r="CB421" s="13" t="n">
        <f aca="false">IF(CB$4="Actuals",IF(CC$4="Actuals","",CC374),CB376)</f>
        <v>-12395784.9757428</v>
      </c>
      <c r="CC421" s="13" t="n">
        <f aca="false">IF(CC$4="Actuals",IF(CD$4="Actuals","",CD374),CC376)</f>
        <v>-13031690.2386512</v>
      </c>
      <c r="CD421" s="13" t="n">
        <f aca="false">IF(CD$4="Actuals",IF(CE$4="Actuals","",CE374),CD376)</f>
        <v>-13591096.5015596</v>
      </c>
      <c r="CE421" s="13" t="n">
        <f aca="false">IF(CE$4="Actuals",IF(CF$4="Actuals","",CF374),CE376)</f>
        <v>-14227001.764468</v>
      </c>
      <c r="CF421" s="13" t="n">
        <f aca="false">IF(CF$4="Actuals",IF(CG$4="Actuals","",CG374),CF376)</f>
        <v>-14862907.0273764</v>
      </c>
      <c r="CG421" s="13" t="n">
        <f aca="false">IF(CG$4="Actuals",IF(CH$4="Actuals","",CH374),CG376)</f>
        <v>-15422313.2902849</v>
      </c>
      <c r="CH421" s="13" t="n">
        <f aca="false">IF(CH$4="Actuals",IF(CI$4="Actuals","",CI374),CH376)</f>
        <v>-16058218.5531933</v>
      </c>
      <c r="CI421" s="13" t="n">
        <f aca="false">IF(CI$4="Actuals",IF(CJ$4="Actuals","",CJ374),CI376)</f>
        <v>-16694123.8161017</v>
      </c>
      <c r="CJ421" s="13" t="n">
        <f aca="false">IF(CJ$4="Actuals",IF(CK$4="Actuals","",CK374),CJ376)</f>
        <v>-17246922.0524037</v>
      </c>
      <c r="CK421" s="13" t="n">
        <f aca="false">IF(CK$4="Actuals",IF(CL$4="Actuals","",CL374),CK376)</f>
        <v>-17737584.4205702</v>
      </c>
      <c r="CL421" s="13" t="n">
        <f aca="false">IF(CL$4="Actuals",IF(CM$4="Actuals","",CM374),CL376)</f>
        <v>-18228246.7887368</v>
      </c>
      <c r="CM421" s="13" t="n">
        <f aca="false">IF(CM$4="Actuals",IF(CN$4="Actuals","",CN374),CM376)</f>
        <v>-18718909.1569034</v>
      </c>
      <c r="CN421" s="13" t="n">
        <f aca="false">IF(CN$4="Actuals",IF(CO$4="Actuals","",CO374),CN376)</f>
        <v>-19209571.52507</v>
      </c>
      <c r="CO421" s="13" t="n">
        <f aca="false">IF(CO$4="Actuals",IF(CP$4="Actuals","",CP374),CO376)</f>
        <v>-19700233.8932366</v>
      </c>
      <c r="CP421" s="13" t="n">
        <f aca="false">IF(CP$4="Actuals",IF(CQ$4="Actuals","",CQ374),CP376)</f>
        <v>-20190896.2614032</v>
      </c>
      <c r="CQ421" s="13" t="n">
        <f aca="false">IF(CQ$4="Actuals",IF(CR$4="Actuals","",CR374),CQ376)</f>
        <v>-20681558.6295698</v>
      </c>
      <c r="CR421" s="13" t="n">
        <f aca="false">IF(CR$4="Actuals",IF(CS$4="Actuals","",CS374),CR376)</f>
        <v>-21172220.9977364</v>
      </c>
      <c r="CS421" s="13" t="n">
        <f aca="false">IF(CS$4="Actuals",IF(CT$4="Actuals","",CT374),CS376)</f>
        <v>-21662883.365903</v>
      </c>
      <c r="CT421" s="13" t="n">
        <f aca="false">IF(CT$4="Actuals",IF(CU$4="Actuals","",CU374),CT376)</f>
        <v>-22092743.6057768</v>
      </c>
      <c r="CU421" s="13" t="n">
        <f aca="false">IF(CU$4="Actuals",IF(CV$4="Actuals","",CV374),CU376)</f>
        <v>-22522603.8456506</v>
      </c>
      <c r="CV421" s="13" t="n">
        <f aca="false">IF(CV$4="Actuals",IF(CW$4="Actuals","",CW374),CV376)</f>
        <v>-22952464.0855244</v>
      </c>
      <c r="CW421" s="13" t="n">
        <f aca="false">IF(CW$4="Actuals",IF(CX$4="Actuals","",CX374),CW376)</f>
        <v>-23338270.5991321</v>
      </c>
      <c r="CX421" s="13" t="n">
        <f aca="false">IF(CX$4="Actuals",IF(CY$4="Actuals","",CY374),CX376)</f>
        <v>-23706630.2638034</v>
      </c>
      <c r="CY421" s="13" t="n">
        <f aca="false">IF(CY$4="Actuals",IF(CZ$4="Actuals","",CZ374),CY376)</f>
        <v>-24074989.9284747</v>
      </c>
      <c r="CZ421" s="13" t="n">
        <f aca="false">IF(CZ$4="Actuals",IF(DA$4="Actuals","",DA374),CZ376)</f>
        <v>-24443349.593146</v>
      </c>
      <c r="DA421" s="13" t="n">
        <f aca="false">IF(DA$4="Actuals",IF(DB$4="Actuals","",DB374),DA376)</f>
        <v>-24811709.2578172</v>
      </c>
      <c r="DB421" s="13" t="n">
        <f aca="false">IF(DB$4="Actuals",IF(DC$4="Actuals","",DC374),DB376)</f>
        <v>-25180068.9224885</v>
      </c>
      <c r="DC421" s="13" t="n">
        <f aca="false">IF(DC$4="Actuals",IF(DD$4="Actuals","",DD374),DC376)</f>
        <v>-25548428.5871598</v>
      </c>
      <c r="DD421" s="13" t="n">
        <f aca="false">IF(DD$4="Actuals",IF(DE$4="Actuals","",DE374),DD376)</f>
        <v>-25916788.2518311</v>
      </c>
      <c r="DE421" s="13" t="n">
        <f aca="false">IF(DE$4="Actuals",IF(DF$4="Actuals","",DF374),DE376)</f>
        <v>-26285147.9165024</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7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7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7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7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7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481498.936090226</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-1766225.56790977</v>
      </c>
      <c r="D27" s="37" t="n">
        <f aca="false">Model!Z293+Model!AA293+Model!AB293+Model!AC293+Model!AD293+Model!AE293+Model!AF293+Model!AG293+Model!AH293+Model!AI293+Model!AJ293+Model!AK293</f>
        <v>-2043860.57302737</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2586491.19219707</v>
      </c>
      <c r="D29" s="37" t="n">
        <f aca="false">Model!Z302+Model!AA302+Model!AB302+Model!AC302+Model!AD302+Model!AE302+Model!AF302+Model!AG302+Model!AH302+Model!AI302+Model!AJ302+Model!AK302</f>
        <v>4445788.85768553</v>
      </c>
      <c r="E29" s="37" t="n">
        <f aca="false">Model!AL302+Model!AM302+Model!AN302+Model!AO302+Model!AP302+Model!AQ302+Model!AR302+Model!AS302+Model!AT302+Model!AU302+Model!AV302+Model!AW302</f>
        <v>-1991813.04685726</v>
      </c>
      <c r="F29" s="37" t="n">
        <f aca="false">Model!AX302+Model!AY302+Model!AZ302+Model!BA302+Model!BB302+Model!BC302+Model!BD302+Model!BE302+Model!BF302+Model!BG302+Model!BH302+Model!BI302</f>
        <v>-5318014.01969289</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-3048625.10124311</v>
      </c>
      <c r="D49" s="83" t="n">
        <f aca="false">Model!AK371</f>
        <v>-5994467.10454907</v>
      </c>
      <c r="E49" s="83" t="n">
        <f aca="false">Model!AW371</f>
        <v>-8580575.67851067</v>
      </c>
      <c r="F49" s="83" t="n">
        <f aca="false">Model!BI371</f>
        <v>-10962206.4239515</v>
      </c>
      <c r="G49" s="83" t="n">
        <f aca="false">Model!BU371</f>
        <v>-13269257.4343012</v>
      </c>
      <c r="H49" s="83" t="n">
        <f aca="false">Model!CG371</f>
        <v>-15456160.0618578</v>
      </c>
      <c r="I49" s="83" t="n">
        <f aca="false">Model!CS371</f>
        <v>-16476037.1553591</v>
      </c>
      <c r="J49" s="83" t="n">
        <f aca="false">Model!DE371</f>
        <v>-16403877.2082669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-1301005.06967513</v>
      </c>
      <c r="E50" s="83" t="n">
        <f aca="false">Model!AL375+Model!AM375+Model!AN375+Model!AO375+Model!AP375+Model!AQ375+Model!AR375+Model!AS375+Model!AT375+Model!AU375+Model!AV375+Model!AW375</f>
        <v>-2236231.79541582</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1366842.51429008</v>
      </c>
      <c r="D51" s="84" t="n">
        <f aca="false">Model!AK376</f>
        <v>5287866.20480815</v>
      </c>
      <c r="E51" s="84" t="n">
        <f aca="false">Model!AW376</f>
        <v>4218511.63151522</v>
      </c>
      <c r="F51" s="84" t="n">
        <f aca="false">Model!BI376</f>
        <v>-792066.088483986</v>
      </c>
      <c r="G51" s="84" t="n">
        <f aca="false">Model!BU376</f>
        <v>-8117084.20967254</v>
      </c>
      <c r="H51" s="84" t="n">
        <f aca="false">Model!CG376</f>
        <v>-15422313.2902849</v>
      </c>
      <c r="I51" s="84" t="n">
        <f aca="false">Model!CS376</f>
        <v>-21662883.365903</v>
      </c>
      <c r="J51" s="84" t="n">
        <f aca="false">Model!DE376</f>
        <v>-26285147.9165024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142313.518421053</v>
      </c>
      <c r="H25" s="13" t="n">
        <f aca="false">Model!T261+Model!U261+Model!V261</f>
        <v>68994.7684210526</v>
      </c>
      <c r="I25" s="13" t="n">
        <f aca="false">Model!W261+Model!X261+Model!Y261</f>
        <v>126892.168421053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-422311.849578947</v>
      </c>
      <c r="H27" s="37" t="n">
        <f aca="false">Model!T293+Model!U293+Model!V293</f>
        <v>-495630.599578947</v>
      </c>
      <c r="I27" s="37" t="n">
        <f aca="false">Model!W293+Model!X293+Model!Y293</f>
        <v>-437733.199578947</v>
      </c>
      <c r="J27" s="37" t="n">
        <f aca="false">Model!Z293+Model!AA293+Model!AB293</f>
        <v>-459802.999578947</v>
      </c>
      <c r="K27" s="37" t="n">
        <f aca="false">Model!AC293+Model!AD293+Model!AE293</f>
        <v>-470795.506938947</v>
      </c>
      <c r="L27" s="37" t="n">
        <f aca="false">Model!AF293+Model!AG293+Model!AH293</f>
        <v>-537644.191149474</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-469516.51281495</v>
      </c>
      <c r="H29" s="37" t="n">
        <f aca="false">Model!T302+Model!U302+Model!V302</f>
        <v>945018.043216896</v>
      </c>
      <c r="I29" s="37" t="n">
        <f aca="false">Model!W302+Model!X302+Model!Y302</f>
        <v>1502701.81753153</v>
      </c>
      <c r="J29" s="37" t="n">
        <f aca="false">Model!Z302+Model!AA302+Model!AB302</f>
        <v>1793251.91769299</v>
      </c>
      <c r="K29" s="37" t="n">
        <f aca="false">Model!AC302+Model!AD302+Model!AE302</f>
        <v>246358.045799492</v>
      </c>
      <c r="L29" s="37" t="n">
        <f aca="false">Model!AF302+Model!AG302+Model!AH302</f>
        <v>1478667.4142824</v>
      </c>
      <c r="M29" s="37" t="n">
        <f aca="false">Model!AI302+Model!AJ302+Model!AK302</f>
        <v>927511.479910654</v>
      </c>
      <c r="N29" s="37" t="n">
        <f aca="false">Model!AL302+Model!AM302+Model!AN302</f>
        <v>-177019.356098529</v>
      </c>
      <c r="O29" s="37" t="n">
        <f aca="false">Model!AO302+Model!AP302+Model!AQ302</f>
        <v>-559287.378976992</v>
      </c>
      <c r="P29" s="37" t="n">
        <f aca="false">Model!AR302+Model!AS302+Model!AT302</f>
        <v>-199846.526823492</v>
      </c>
      <c r="Q29" s="37" t="n">
        <f aca="false">Model!AU302+Model!AV302+Model!AW302</f>
        <v>-1055659.78495825</v>
      </c>
      <c r="R29" s="37" t="n">
        <f aca="false">Model!AX302+Model!AY302+Model!AZ302</f>
        <v>-1325569.43806</v>
      </c>
      <c r="S29" s="37" t="n">
        <f aca="false">Model!BA302+Model!BB302+Model!BC302</f>
        <v>-1361240.40527331</v>
      </c>
      <c r="T29" s="37" t="n">
        <f aca="false">Model!BD302+Model!BE302+Model!BF302</f>
        <v>-1361240.40527331</v>
      </c>
      <c r="U29" s="37" t="n">
        <f aca="false">Model!BG302+Model!BH302+Model!BI302</f>
        <v>-1269963.77108626</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-1443261.30208521</v>
      </c>
      <c r="H49" s="83" t="n">
        <f aca="false">Model!V371</f>
        <v>-2274891.90166416</v>
      </c>
      <c r="I49" s="83" t="n">
        <f aca="false">Model!Y371</f>
        <v>-3048625.10124311</v>
      </c>
      <c r="J49" s="83" t="n">
        <f aca="false">Model!AB371</f>
        <v>-4094428.10082206</v>
      </c>
      <c r="K49" s="83" t="n">
        <f aca="false">Model!AE371</f>
        <v>-4881205.0380396</v>
      </c>
      <c r="L49" s="83" t="n">
        <f aca="false">Model!AH371</f>
        <v>-5418849.22918907</v>
      </c>
      <c r="M49" s="83" t="n">
        <f aca="false">Model!AK371</f>
        <v>-5994467.10454907</v>
      </c>
      <c r="N49" s="83" t="n">
        <f aca="false">Model!AN371</f>
        <v>-6820084.97990907</v>
      </c>
      <c r="O49" s="83" t="n">
        <f aca="false">Model!AQ371</f>
        <v>-7406915.21277627</v>
      </c>
      <c r="P49" s="83" t="n">
        <f aca="false">Model!AT371</f>
        <v>-7993745.44564347</v>
      </c>
      <c r="Q49" s="83" t="n">
        <f aca="false">Model!AW371</f>
        <v>-8580575.67851067</v>
      </c>
      <c r="R49" s="83" t="n">
        <f aca="false">Model!AZ371</f>
        <v>-9167405.91137787</v>
      </c>
      <c r="S49" s="83" t="n">
        <f aca="false">Model!BC371</f>
        <v>-9765672.74890241</v>
      </c>
      <c r="T49" s="83" t="n">
        <f aca="false">Model!BF371</f>
        <v>-10363939.586427</v>
      </c>
      <c r="U49" s="83" t="n">
        <f aca="false">Model!BI371</f>
        <v>-10962206.4239515</v>
      </c>
      <c r="V49" s="83" t="n">
        <f aca="false">Model!BL371</f>
        <v>-11560473.261476</v>
      </c>
      <c r="W49" s="83" t="n">
        <f aca="false">Model!BO371</f>
        <v>-12170405.4357511</v>
      </c>
      <c r="X49" s="83" t="n">
        <f aca="false">Model!BR371</f>
        <v>-12727087.2600261</v>
      </c>
      <c r="Y49" s="83" t="n">
        <f aca="false">Model!BU371</f>
        <v>-13269257.4343012</v>
      </c>
      <c r="Z49" s="83" t="n">
        <f aca="false">Model!BX371</f>
        <v>-13811427.6085762</v>
      </c>
      <c r="AA49" s="83" t="n">
        <f aca="false">Model!CA371</f>
        <v>-14365496.4263367</v>
      </c>
      <c r="AB49" s="83" t="n">
        <f aca="false">Model!CD371</f>
        <v>-14910828.2440973</v>
      </c>
      <c r="AC49" s="83" t="n">
        <f aca="false">Model!CG371</f>
        <v>-15456160.0618578</v>
      </c>
      <c r="AD49" s="83" t="n">
        <f aca="false">Model!CJ371</f>
        <v>-15994883.8530119</v>
      </c>
      <c r="AE49" s="83" t="n">
        <f aca="false">Model!CM371</f>
        <v>-16155268.2871276</v>
      </c>
      <c r="AF49" s="83" t="n">
        <f aca="false">Model!CP371</f>
        <v>-16315652.7212434</v>
      </c>
      <c r="AG49" s="83" t="n">
        <f aca="false">Model!CS371</f>
        <v>-16476037.1553591</v>
      </c>
      <c r="AH49" s="83" t="n">
        <f aca="false">Model!CV371</f>
        <v>-16609355.6834309</v>
      </c>
      <c r="AI49" s="83" t="n">
        <f aca="false">Model!CY371</f>
        <v>-16552494.0910005</v>
      </c>
      <c r="AJ49" s="83" t="n">
        <f aca="false">Model!DB371</f>
        <v>-16478185.6496337</v>
      </c>
      <c r="AK49" s="83" t="n">
        <f aca="false">Model!DE371</f>
        <v>-16403877.2082669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-1301005.06967513</v>
      </c>
      <c r="K50" s="83" t="n">
        <f aca="false">Model!AC375+Model!AD375+Model!AE375</f>
        <v>0</v>
      </c>
      <c r="L50" s="83" t="n">
        <f aca="false">Model!AF375+Model!AG375+Model!AH375</f>
        <v>0</v>
      </c>
      <c r="M50" s="83" t="n">
        <f aca="false">Model!AI375+Model!AJ375+Model!AK375</f>
        <v>0</v>
      </c>
      <c r="N50" s="83" t="n">
        <f aca="false">Model!AL375+Model!AM375+Model!AN375</f>
        <v>-2236231.79541582</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118311.447940788</v>
      </c>
      <c r="H51" s="84" t="n">
        <f aca="false">Model!V376</f>
        <v>307061.157350495</v>
      </c>
      <c r="I51" s="84" t="n">
        <f aca="false">Model!Y376</f>
        <v>1366842.51429008</v>
      </c>
      <c r="J51" s="84" t="n">
        <f aca="false">Model!AB376</f>
        <v>1269313.81396203</v>
      </c>
      <c r="K51" s="84" t="n">
        <f aca="false">Model!AE376</f>
        <v>3133485.42266676</v>
      </c>
      <c r="L51" s="84" t="n">
        <f aca="false">Model!AH376</f>
        <v>3947866.53198175</v>
      </c>
      <c r="M51" s="84" t="n">
        <f aca="false">Model!AK376</f>
        <v>5287866.20480815</v>
      </c>
      <c r="N51" s="84" t="n">
        <f aca="false">Model!AN376</f>
        <v>3227793.0573341</v>
      </c>
      <c r="O51" s="84" t="n">
        <f aca="false">Model!AQ376</f>
        <v>4877241.64630524</v>
      </c>
      <c r="P51" s="84" t="n">
        <f aca="false">Model!AT376</f>
        <v>4596346.40274637</v>
      </c>
      <c r="Q51" s="84" t="n">
        <f aca="false">Model!AW376</f>
        <v>4218511.63151522</v>
      </c>
      <c r="R51" s="84" t="n">
        <f aca="false">Model!AZ376</f>
        <v>2869293.24732494</v>
      </c>
      <c r="S51" s="84" t="n">
        <f aca="false">Model!BC376</f>
        <v>1484403.89592135</v>
      </c>
      <c r="T51" s="84" t="n">
        <f aca="false">Model!BF376</f>
        <v>99514.5445177592</v>
      </c>
      <c r="U51" s="84" t="n">
        <f aca="false">Model!BI376</f>
        <v>-792066.088483986</v>
      </c>
      <c r="V51" s="84" t="n">
        <f aca="false">Model!BL376</f>
        <v>-2626285.41636294</v>
      </c>
      <c r="W51" s="84" t="n">
        <f aca="false">Model!BO376</f>
        <v>-4496889.13079947</v>
      </c>
      <c r="X51" s="84" t="n">
        <f aca="false">Model!BR376</f>
        <v>-6314242.49523601</v>
      </c>
      <c r="Y51" s="84" t="n">
        <f aca="false">Model!BU376</f>
        <v>-8117084.20967254</v>
      </c>
      <c r="Z51" s="84" t="n">
        <f aca="false">Model!BX376</f>
        <v>-9919925.92410907</v>
      </c>
      <c r="AA51" s="84" t="n">
        <f aca="false">Model!CA376</f>
        <v>-11759879.7128343</v>
      </c>
      <c r="AB51" s="84" t="n">
        <f aca="false">Model!CD376</f>
        <v>-13591096.5015596</v>
      </c>
      <c r="AC51" s="84" t="n">
        <f aca="false">Model!CG376</f>
        <v>-15422313.2902849</v>
      </c>
      <c r="AD51" s="84" t="n">
        <f aca="false">Model!CJ376</f>
        <v>-17246922.0524037</v>
      </c>
      <c r="AE51" s="84" t="n">
        <f aca="false">Model!CM376</f>
        <v>-18718909.1569034</v>
      </c>
      <c r="AF51" s="84" t="n">
        <f aca="false">Model!CP376</f>
        <v>-20190896.2614032</v>
      </c>
      <c r="AG51" s="84" t="n">
        <f aca="false">Model!CS376</f>
        <v>-21662883.365903</v>
      </c>
      <c r="AH51" s="84" t="n">
        <f aca="false">Model!CV376</f>
        <v>-22952464.0855244</v>
      </c>
      <c r="AI51" s="84" t="n">
        <f aca="false">Model!CY376</f>
        <v>-24074989.9284747</v>
      </c>
      <c r="AJ51" s="84" t="n">
        <f aca="false">Model!DB376</f>
        <v>-25180068.9224885</v>
      </c>
      <c r="AK51" s="84" t="n">
        <f aca="false">Model!DE376</f>
        <v>-26285147.9165024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fals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571</v>
      </c>
      <c r="G22" s="179" t="s">
        <v>571</v>
      </c>
      <c r="H22" s="179" t="n">
        <v>0</v>
      </c>
      <c r="I22" s="180" t="n">
        <f aca="false">IF(H22=1,Assumptions!$B$16,IF(H22=2,Assumptions!$B$17,0))</f>
        <v>0</v>
      </c>
      <c r="J22" s="179" t="s">
        <v>571</v>
      </c>
      <c r="K22" s="179" t="s">
        <v>571</v>
      </c>
      <c r="L22" s="179" t="s">
        <v>576</v>
      </c>
      <c r="M22" s="184" t="s">
        <v>571</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1212343.83110043</v>
      </c>
      <c r="AE55" s="198" t="n">
        <f aca="false">Model!AC10+Model!AC11+Model!AC56</f>
        <v>983618.361856879</v>
      </c>
      <c r="AF55" s="198" t="n">
        <f aca="false">Model!AD10+Model!AD11+Model!AD56</f>
        <v>1006568.27185688</v>
      </c>
      <c r="AG55" s="198" t="n">
        <f aca="false">Model!AE10+Model!AE11+Model!AE56</f>
        <v>1155159.92272543</v>
      </c>
      <c r="AH55" s="198" t="n">
        <f aca="false">Model!AF10+Model!AF11+Model!AF56</f>
        <v>1324779.73684014</v>
      </c>
      <c r="AI55" s="198" t="n">
        <f aca="false">Model!AG10+Model!AG11+Model!AG56</f>
        <v>1234876.82509166</v>
      </c>
      <c r="AJ55" s="198" t="n">
        <f aca="false">Model!AH10+Model!AH11+Model!AH56</f>
        <v>1098183.50212976</v>
      </c>
      <c r="AK55" s="198" t="n">
        <f aca="false">Model!AI10+Model!AI11+Model!AI56</f>
        <v>1092016.63212976</v>
      </c>
      <c r="AL55" s="198" t="n">
        <f aca="false">Model!AJ10+Model!AJ11+Model!AJ56</f>
        <v>1189583.24979076</v>
      </c>
      <c r="AM55" s="198" t="n">
        <f aca="false">Model!AK10+Model!AK11+Model!AK56</f>
        <v>818983.359672128</v>
      </c>
      <c r="AN55" s="198" t="n">
        <f aca="false">Model!AL10+Model!AL11+Model!AL56</f>
        <v>808059.470052578</v>
      </c>
      <c r="AO55" s="198" t="n">
        <f aca="false">Model!AM10+Model!AM11+Model!AM56</f>
        <v>597906.909784677</v>
      </c>
      <c r="AP55" s="198" t="n">
        <f aca="false">Model!AN10+Model!AN11+Model!AN56</f>
        <v>489424.859784678</v>
      </c>
      <c r="AQ55" s="198" t="n">
        <f aca="false">Model!AO10+Model!AO11+Model!AO56</f>
        <v>449496.249784678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11364938.8623118</v>
      </c>
      <c r="AE56" s="201" t="n">
        <f aca="false">AE21+AE53+AE55</f>
        <v>10336494.9643158</v>
      </c>
      <c r="AF56" s="201" t="n">
        <f aca="false">AF21+AF53+AF55</f>
        <v>10287256.751448</v>
      </c>
      <c r="AG56" s="201" t="n">
        <f aca="false">AG21+AG53+AG55</f>
        <v>10520627.4659031</v>
      </c>
      <c r="AH56" s="201" t="n">
        <f aca="false">AH21+AH53+AH55</f>
        <v>10419504.9548923</v>
      </c>
      <c r="AI56" s="201" t="n">
        <f aca="false">AI21+AI53+AI55</f>
        <v>10517872.2595754</v>
      </c>
      <c r="AJ56" s="201" t="n">
        <f aca="false">AJ21+AJ53+AJ55</f>
        <v>9747987.69442756</v>
      </c>
      <c r="AK56" s="201" t="n">
        <f aca="false">AK21+AK53+AK55</f>
        <v>9292607.01656332</v>
      </c>
      <c r="AL56" s="201" t="n">
        <f aca="false">AL21+AL53+AL55</f>
        <v>7853272.85592246</v>
      </c>
      <c r="AM56" s="201" t="n">
        <f aca="false">AM21+AM53+AM55</f>
        <v>6501109.93830076</v>
      </c>
      <c r="AN56" s="201" t="n">
        <f aca="false">AN21+AN53+AN55</f>
        <v>6050066.97877344</v>
      </c>
      <c r="AO56" s="201" t="n">
        <f aca="false">AO21+AO53+AO55</f>
        <v>5477006.50592696</v>
      </c>
      <c r="AP56" s="201" t="n">
        <f aca="false">AP21+AP53+AP55</f>
        <v>4399976.67660356</v>
      </c>
      <c r="AQ56" s="201" t="n">
        <f aca="false">AQ21+AQ53+AQ55</f>
        <v>3867556.44940938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11</v>
      </c>
      <c r="AE57" s="202" t="n">
        <f aca="false">AE22+AE54</f>
        <v>10</v>
      </c>
      <c r="AF57" s="202" t="n">
        <f aca="false">AF22+AF54</f>
        <v>10</v>
      </c>
      <c r="AG57" s="202" t="n">
        <f aca="false">AG22+AG54</f>
        <v>11</v>
      </c>
      <c r="AH57" s="202" t="n">
        <f aca="false">AH22+AH54</f>
        <v>11</v>
      </c>
      <c r="AI57" s="202" t="n">
        <f aca="false">AI22+AI54</f>
        <v>9</v>
      </c>
      <c r="AJ57" s="202" t="n">
        <f aca="false">AJ22+AJ54</f>
        <v>8</v>
      </c>
      <c r="AK57" s="202" t="n">
        <f aca="false">AK22+AK54</f>
        <v>8</v>
      </c>
      <c r="AL57" s="202" t="n">
        <f aca="false">AL22+AL54</f>
        <v>8</v>
      </c>
      <c r="AM57" s="202" t="n">
        <f aca="false">AM22+AM54</f>
        <v>6</v>
      </c>
      <c r="AN57" s="202" t="n">
        <f aca="false">AN22+AN54</f>
        <v>5</v>
      </c>
      <c r="AO57" s="202" t="n">
        <f aca="false">AO22+AO54</f>
        <v>4</v>
      </c>
      <c r="AP57" s="202" t="n">
        <f aca="false">AP22+AP54</f>
        <v>4</v>
      </c>
      <c r="AQ57" s="202" t="n">
        <f aca="false">AQ22+AQ54</f>
        <v>3</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768533.071394</v>
      </c>
      <c r="AF59" s="198" t="n">
        <f aca="false">-(Model!AD236+Model!AD292)</f>
        <v>762163.770817077</v>
      </c>
      <c r="AG59" s="198" t="n">
        <f aca="false">-(Model!AE236+Model!AE292)</f>
        <v>740240.693894</v>
      </c>
      <c r="AH59" s="198" t="n">
        <f aca="false">-(Model!AF236+Model!AF292)</f>
        <v>740240.693894</v>
      </c>
      <c r="AI59" s="198" t="n">
        <f aca="false">-(Model!AG236+Model!AG292)</f>
        <v>740240.693894</v>
      </c>
      <c r="AJ59" s="198" t="n">
        <f aca="false">-(Model!AH236+Model!AH292)</f>
        <v>736664.946201692</v>
      </c>
      <c r="AK59" s="198" t="n">
        <f aca="false">-(Model!AI236+Model!AI292)</f>
        <v>724357.253894</v>
      </c>
      <c r="AL59" s="198" t="n">
        <f aca="false">-(Model!AJ236+Model!AJ292)</f>
        <v>724357.253894</v>
      </c>
      <c r="AM59" s="198" t="n">
        <f aca="false">-(Model!AK236+Model!AK292)</f>
        <v>724357.253894</v>
      </c>
      <c r="AN59" s="198" t="n">
        <f aca="false">-(Model!AL236+Model!AL292)</f>
        <v>722569.380047846</v>
      </c>
      <c r="AO59" s="198" t="n">
        <f aca="false">-(Model!AM236+Model!AM292)</f>
        <v>702336.027355539</v>
      </c>
      <c r="AP59" s="198" t="n">
        <f aca="false">-(Model!AN236+Model!AN292)</f>
        <v>647505.188317077</v>
      </c>
      <c r="AQ59" s="198" t="n">
        <f aca="false">-(Model!AO236+Model!AO292)</f>
        <v>637993.75362188</v>
      </c>
      <c r="AR59" s="198" t="n">
        <f aca="false">-(Model!AP236+Model!AP292)</f>
        <v>637993.75362188</v>
      </c>
      <c r="AS59" s="198" t="n">
        <f aca="false">-(Model!AQ236+Model!AQ292)</f>
        <v>631788.621087265</v>
      </c>
      <c r="AT59" s="198" t="n">
        <f aca="false">-(Model!AR236+Model!AR292)</f>
        <v>612173.23647188</v>
      </c>
      <c r="AU59" s="198" t="n">
        <f aca="false">-(Model!AS236+Model!AS292)</f>
        <v>609131.504837265</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1212343.83110043</v>
      </c>
      <c r="AE60" s="198" t="n">
        <f aca="false">Model!AC199</f>
        <v>983618.361856878</v>
      </c>
      <c r="AF60" s="198" t="n">
        <f aca="false">Model!AD199</f>
        <v>1006568.27185688</v>
      </c>
      <c r="AG60" s="198" t="n">
        <f aca="false">Model!AE199</f>
        <v>422286.579769761</v>
      </c>
      <c r="AH60" s="198" t="n">
        <f aca="false">Model!AF199</f>
        <v>1324779.73684014</v>
      </c>
      <c r="AI60" s="198" t="n">
        <f aca="false">Model!AG199</f>
        <v>1234876.82509166</v>
      </c>
      <c r="AJ60" s="198" t="n">
        <f aca="false">Model!AH199</f>
        <v>1098183.50212976</v>
      </c>
      <c r="AK60" s="198" t="n">
        <f aca="false">Model!AI199</f>
        <v>1092016.63212976</v>
      </c>
      <c r="AL60" s="198" t="n">
        <f aca="false">Model!AJ199</f>
        <v>1189583.24979076</v>
      </c>
      <c r="AM60" s="198" t="n">
        <f aca="false">Model!AK199</f>
        <v>818983.359672127</v>
      </c>
      <c r="AN60" s="198" t="n">
        <f aca="false">Model!AL199</f>
        <v>808059.470052578</v>
      </c>
      <c r="AO60" s="198" t="n">
        <f aca="false">Model!AM199</f>
        <v>597906.909784677</v>
      </c>
      <c r="AP60" s="198" t="n">
        <f aca="false">Model!AN199</f>
        <v>489424.859784678</v>
      </c>
      <c r="AQ60" s="198" t="n">
        <f aca="false">Model!AO199</f>
        <v>449496.249784678</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0.106674030171934</v>
      </c>
      <c r="AE61" s="203" t="n">
        <f aca="false">IFERROR(AE60/AE56,0)</f>
        <v>0.0951597582403495</v>
      </c>
      <c r="AF61" s="203" t="n">
        <f aca="false">IFERROR(AF60/AF56,0)</f>
        <v>0.0978461310120602</v>
      </c>
      <c r="AG61" s="203" t="n">
        <f aca="false">IFERROR(AG60/AG56,0)</f>
        <v>0.0401389157764948</v>
      </c>
      <c r="AH61" s="203" t="n">
        <f aca="false">IFERROR(AH60/AH56,0)</f>
        <v>0.127144211032609</v>
      </c>
      <c r="AI61" s="203" t="n">
        <f aca="false">IFERROR(AI60/AI56,0)</f>
        <v>0.11740747506868</v>
      </c>
      <c r="AJ61" s="203" t="n">
        <f aca="false">IFERROR(AJ60/AJ56,0)</f>
        <v>0.112657456754643</v>
      </c>
      <c r="AK61" s="203" t="n">
        <f aca="false">IFERROR(AK60/AK56,0)</f>
        <v>0.117514560788305</v>
      </c>
      <c r="AL61" s="203" t="n">
        <f aca="false">IFERROR(AL60/AL56,0)</f>
        <v>0.151476113413486</v>
      </c>
      <c r="AM61" s="203" t="n">
        <f aca="false">IFERROR(AM60/AM56,0)</f>
        <v>0.125975928332969</v>
      </c>
      <c r="AN61" s="203" t="n">
        <f aca="false">IFERROR(AN60/AN56,0)</f>
        <v>0.133562070120486</v>
      </c>
      <c r="AO61" s="203" t="n">
        <f aca="false">IFERROR(AO60/AO56,0)</f>
        <v>0.109166733531839</v>
      </c>
      <c r="AP61" s="203" t="n">
        <f aca="false">IFERROR(AP60/AP56,0)</f>
        <v>0.111233512301814</v>
      </c>
      <c r="AQ61" s="203" t="n">
        <f aca="false">IFERROR(AQ60/AQ56,0)</f>
        <v>0.116222285482949</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7121842.86680984</v>
      </c>
      <c r="AE62" s="198" t="n">
        <f aca="false">IF(AE61&gt;0,AE59/AE61,"n/m")</f>
        <v>8076240.26800152</v>
      </c>
      <c r="AF62" s="198" t="n">
        <f aca="false">IF(AF61&gt;0,AF59/AF61,"n/m")</f>
        <v>7789411.42520122</v>
      </c>
      <c r="AG62" s="198" t="n">
        <f aca="false">IF(AG61&gt;0,AG59/AG61,"n/m")</f>
        <v>18441970.3316322</v>
      </c>
      <c r="AH62" s="198" t="n">
        <f aca="false">IF(AH61&gt;0,AH59/AH61,"n/m")</f>
        <v>5822055.82056859</v>
      </c>
      <c r="AI62" s="198" t="n">
        <f aca="false">IF(AI61&gt;0,AI59/AI61,"n/m")</f>
        <v>6304885.5574228</v>
      </c>
      <c r="AJ62" s="198" t="n">
        <f aca="false">IF(AJ61&gt;0,AJ59/AJ61,"n/m")</f>
        <v>6538980.79561727</v>
      </c>
      <c r="AK62" s="198" t="n">
        <f aca="false">IF(AK61&gt;0,AK59/AK61,"n/m")</f>
        <v>6163978.73620854</v>
      </c>
      <c r="AL62" s="198" t="n">
        <f aca="false">IF(AL61&gt;0,AL59/AL61,"n/m")</f>
        <v>4781989.96244849</v>
      </c>
      <c r="AM62" s="198" t="n">
        <f aca="false">IF(AM61&gt;0,AM59/AM61,"n/m")</f>
        <v>5749965.59643872</v>
      </c>
      <c r="AN62" s="198" t="n">
        <f aca="false">IF(AN61&gt;0,AN59/AN61,"n/m")</f>
        <v>5409989.37345023</v>
      </c>
      <c r="AO62" s="198" t="n">
        <f aca="false">IF(AO61&gt;0,AO59/AO61,"n/m")</f>
        <v>6433608.52370561</v>
      </c>
      <c r="AP62" s="198" t="n">
        <f aca="false">IF(AP61&gt;0,AP59/AP61,"n/m")</f>
        <v>5821134.0711797</v>
      </c>
      <c r="AQ62" s="198" t="n">
        <f aca="false">IF(AQ61&gt;0,AQ59/AQ61,"n/m")</f>
        <v>5489427.01454172</v>
      </c>
      <c r="AR62" s="198" t="n">
        <f aca="false">IF(AR61&gt;0,AR59/AR61,"n/m")</f>
        <v>5188054.83434701</v>
      </c>
      <c r="AS62" s="198" t="n">
        <f aca="false">IF(AS61&gt;0,AS59/AS61,"n/m")</f>
        <v>4105720.15710564</v>
      </c>
      <c r="AT62" s="198" t="n">
        <f aca="false">IF(AT61&gt;0,AT59/AT61,"n/m")</f>
        <v>3863347.54779131</v>
      </c>
      <c r="AU62" s="198" t="n">
        <f aca="false">IF(AU61&gt;0,AU59/AU61,"n/m")</f>
        <v>3712172.51582266</v>
      </c>
      <c r="AV62" s="198" t="n">
        <f aca="false">IF(AV61&gt;0,AV59/AV61,"n/m")</f>
        <v>2481356.35571005</v>
      </c>
      <c r="AW62" s="198" t="n">
        <f aca="false">IF(AW61&gt;0,AW59/AW61,"n/m")</f>
        <v>2639088.65770224</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4243095.99550195</v>
      </c>
      <c r="AE63" s="203" t="n">
        <f aca="false">IF(ISNUMBER(AE62),AE56-AE62,AE60-AE59)</f>
        <v>2260254.69631424</v>
      </c>
      <c r="AF63" s="203" t="n">
        <f aca="false">IF(ISNUMBER(AF62),AF56-AF62,AF60-AF59)</f>
        <v>2497845.32624674</v>
      </c>
      <c r="AG63" s="203" t="n">
        <f aca="false">IF(ISNUMBER(AG62),AG56-AG62,AG60-AG59)</f>
        <v>-7921342.86572912</v>
      </c>
      <c r="AH63" s="203" t="n">
        <f aca="false">IF(ISNUMBER(AH62),AH56-AH62,AH60-AH59)</f>
        <v>4597449.13432372</v>
      </c>
      <c r="AI63" s="203" t="n">
        <f aca="false">IF(ISNUMBER(AI62),AI56-AI62,AI60-AI59)</f>
        <v>4212986.7021526</v>
      </c>
      <c r="AJ63" s="203" t="n">
        <f aca="false">IF(ISNUMBER(AJ62),AJ56-AJ62,AJ60-AJ59)</f>
        <v>3209006.89881029</v>
      </c>
      <c r="AK63" s="203" t="n">
        <f aca="false">IF(ISNUMBER(AK62),AK56-AK62,AK60-AK59)</f>
        <v>3128628.28035478</v>
      </c>
      <c r="AL63" s="203" t="n">
        <f aca="false">IF(ISNUMBER(AL62),AL56-AL62,AL60-AL59)</f>
        <v>3071282.89347397</v>
      </c>
      <c r="AM63" s="203" t="n">
        <f aca="false">IF(ISNUMBER(AM62),AM56-AM62,AM60-AM59)</f>
        <v>751144.341862041</v>
      </c>
      <c r="AN63" s="203" t="n">
        <f aca="false">IF(ISNUMBER(AN62),AN56-AN62,AN60-AN59)</f>
        <v>640077.605323209</v>
      </c>
      <c r="AO63" s="203" t="n">
        <f aca="false">IF(ISNUMBER(AO62),AO56-AO62,AO60-AO59)</f>
        <v>-956602.017778647</v>
      </c>
      <c r="AP63" s="203" t="n">
        <f aca="false">IF(ISNUMBER(AP62),AP56-AP62,AP60-AP59)</f>
        <v>-1421157.39457614</v>
      </c>
      <c r="AQ63" s="203" t="n">
        <f aca="false">IF(ISNUMBER(AQ62),AQ56-AQ62,AQ60-AQ59)</f>
        <v>-1621870.56513234</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-972850.035922656</v>
      </c>
      <c r="AV63" s="203" t="n">
        <f aca="false">IF(ISNUMBER(AV62),AV56-AV62,AV60-AV59)</f>
        <v>148556.341099947</v>
      </c>
      <c r="AW63" s="203" t="n">
        <f aca="false">IF(ISNUMBER(AW62),AW56-AW62,AW60-AW59)</f>
        <v>-756915.291486237</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1.59578624168699</v>
      </c>
      <c r="AE64" s="204" t="n">
        <f aca="false">IFERROR(AE60/AE59,"")</f>
        <v>1.27986471691159</v>
      </c>
      <c r="AF64" s="204" t="n">
        <f aca="false">IFERROR(AF60/AF59,"")</f>
        <v>1.32067189546124</v>
      </c>
      <c r="AG64" s="204" t="n">
        <f aca="false">IFERROR(AG60/AG59,"")</f>
        <v>0.570471987359062</v>
      </c>
      <c r="AH64" s="204" t="n">
        <f aca="false">IFERROR(AH60/AH59,"")</f>
        <v>1.78966077894367</v>
      </c>
      <c r="AI64" s="204" t="n">
        <f aca="false">IFERROR(AI60/AI59,"")</f>
        <v>1.66820986103271</v>
      </c>
      <c r="AJ64" s="204" t="n">
        <f aca="false">IFERROR(AJ60/AJ59,"")</f>
        <v>1.49075031707711</v>
      </c>
      <c r="AK64" s="204" t="n">
        <f aca="false">IFERROR(AK60/AK59,"")</f>
        <v>1.50756636488321</v>
      </c>
      <c r="AL64" s="204" t="n">
        <f aca="false">IFERROR(AL60/AL59,"")</f>
        <v>1.6422604224584</v>
      </c>
      <c r="AM64" s="204" t="n">
        <f aca="false">IFERROR(AM60/AM59,"")</f>
        <v>1.13063458020119</v>
      </c>
      <c r="AN64" s="204" t="n">
        <f aca="false">IFERROR(AN60/AN59,"")</f>
        <v>1.11831402266045</v>
      </c>
      <c r="AO64" s="204" t="n">
        <f aca="false">IFERROR(AO60/AO59,"")</f>
        <v>0.851311746082482</v>
      </c>
      <c r="AP64" s="204" t="n">
        <f aca="false">IFERROR(AP60/AP59,"")</f>
        <v>0.755862452711361</v>
      </c>
      <c r="AQ64" s="204" t="n">
        <f aca="false">IFERROR(AQ60/AQ59,"")</f>
        <v>0.70454647437047</v>
      </c>
      <c r="AR64" s="204" t="n">
        <f aca="false">IFERROR(AR60/AR59,"")</f>
        <v>0.70454647437047</v>
      </c>
      <c r="AS64" s="204" t="n">
        <f aca="false">IFERROR(AS60/AS59,"")</f>
        <v>0.711466200532585</v>
      </c>
      <c r="AT64" s="204" t="n">
        <f aca="false">IFERROR(AT60/AT59,"")</f>
        <v>0.734263151351154</v>
      </c>
      <c r="AU64" s="204" t="n">
        <f aca="false">IFERROR(AU60/AU59,"")</f>
        <v>0.737929734737271</v>
      </c>
      <c r="AV64" s="204" t="n">
        <f aca="false">IFERROR(AV60/AV59,"")</f>
        <v>1.05986900702839</v>
      </c>
      <c r="AW64" s="204" t="n">
        <f aca="false">IFERROR(AW60/AW59,"")</f>
        <v>0.713190654176333</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571</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114422609.867874</v>
      </c>
      <c r="D41" s="251" t="n">
        <f aca="false">'Annual Summary'!D7</f>
        <v>122348447.804248</v>
      </c>
      <c r="E41" s="251" t="n">
        <f aca="false">'Annual Summary'!E7</f>
        <v>40094438.7517072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6489649.4307129</v>
      </c>
      <c r="E42" s="269" t="n">
        <f aca="false">'Annual Summary'!E22</f>
        <v>344295.52710434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0.0380407051118047</v>
      </c>
      <c r="D43" s="258" t="n">
        <f aca="false">'Annual Summary'!D23</f>
        <v>0.0530423519642527</v>
      </c>
      <c r="E43" s="258" t="n">
        <f aca="false">'Annual Summary'!E23</f>
        <v>0.00858711426880068</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481498.936090226</v>
      </c>
      <c r="D45" s="251" t="n">
        <f aca="false">'Annual Summary'!D25</f>
        <v>247618.421052632</v>
      </c>
      <c r="E45" s="251" t="n">
        <f aca="false">'Annual Summary'!E25</f>
        <v>163365</v>
      </c>
      <c r="F45" s="251" t="n">
        <f aca="false">'Annual Summary'!F25</f>
        <v>1276957</v>
      </c>
      <c r="G45" s="251" t="n">
        <f aca="false">'Annual Summary'!G25</f>
        <v>546560</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-1766225.56790977</v>
      </c>
      <c r="D46" s="269" t="n">
        <f aca="false">'Annual Summary'!D27</f>
        <v>-2043860.57302737</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2586491.19219707</v>
      </c>
      <c r="D48" s="269" t="n">
        <f aca="false">'Annual Summary'!D29</f>
        <v>4445788.85768553</v>
      </c>
      <c r="E48" s="269" t="n">
        <f aca="false">'Annual Summary'!E29</f>
        <v>-1991813.04685726</v>
      </c>
      <c r="F48" s="269" t="n">
        <f aca="false">'Annual Summary'!F29</f>
        <v>-5318014.01969289</v>
      </c>
      <c r="G48" s="269" t="n">
        <f aca="false">'Annual Summary'!G29</f>
        <v>-7325018.12118855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1366842.51429008</v>
      </c>
      <c r="D50" s="271" t="n">
        <f aca="false">'Annual Summary'!D51</f>
        <v>5287866.20480815</v>
      </c>
      <c r="E50" s="271" t="n">
        <f aca="false">'Annual Summary'!E51</f>
        <v>4218511.63151522</v>
      </c>
      <c r="F50" s="271" t="n">
        <f aca="false">'Annual Summary'!F51</f>
        <v>-792066.088483986</v>
      </c>
      <c r="G50" s="271" t="n">
        <f aca="false">'Annual Summary'!G51</f>
        <v>-8117084.20967254</v>
      </c>
      <c r="H50" s="271" t="n">
        <f aca="false">'Annual Summary'!H51</f>
        <v>-15422313.2902849</v>
      </c>
      <c r="I50" s="271" t="n">
        <f aca="false">'Annual Summary'!I51</f>
        <v>-21662883.365903</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11282333.3093572</v>
      </c>
      <c r="E51" s="271" t="n">
        <f aca="false">'Annual Summary'!E48</f>
        <v>12799087.3100259</v>
      </c>
      <c r="F51" s="271" t="n">
        <f aca="false">'Annual Summary'!F48</f>
        <v>10170140.3354675</v>
      </c>
      <c r="G51" s="271" t="n">
        <f aca="false">'Annual Summary'!G48</f>
        <v>5152173.22462861</v>
      </c>
      <c r="H51" s="271" t="n">
        <f aca="false">'Annual Summary'!H48</f>
        <v>33846.7715729334</v>
      </c>
      <c r="I51" s="271" t="n">
        <f aca="false">'Annual Summary'!I48</f>
        <v>-5186846.21054386</v>
      </c>
    </row>
    <row r="52" customFormat="false" ht="15" hidden="false" customHeight="true" outlineLevel="0" collapsed="false">
      <c r="A52" s="270" t="s">
        <v>195</v>
      </c>
      <c r="B52" s="271" t="n">
        <f aca="false">'Annual Summary'!B49</f>
        <v>61600.4666666667</v>
      </c>
      <c r="C52" s="271" t="n">
        <f aca="false">'Annual Summary'!C49</f>
        <v>-3048625.10124311</v>
      </c>
      <c r="D52" s="271" t="n">
        <f aca="false">'Annual Summary'!D49</f>
        <v>-5994467.10454907</v>
      </c>
      <c r="E52" s="271" t="n">
        <f aca="false">'Annual Summary'!E49</f>
        <v>-8580575.67851067</v>
      </c>
      <c r="F52" s="271" t="n">
        <f aca="false">'Annual Summary'!F49</f>
        <v>-10962206.4239515</v>
      </c>
      <c r="G52" s="271" t="n">
        <f aca="false">'Annual Summary'!G49</f>
        <v>-13269257.4343012</v>
      </c>
      <c r="H52" s="271" t="n">
        <f aca="false">'Annual Summary'!H49</f>
        <v>-15456160.0618578</v>
      </c>
      <c r="I52" s="271" t="n">
        <f aca="false">'Annual Summary'!I49</f>
        <v>-16476037.1553591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48459510.652485</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4415467.61553319</v>
      </c>
      <c r="D70" s="262" t="n">
        <f aca="false">'Annual Summary'!E48</f>
        <v>12799087.3100259</v>
      </c>
      <c r="E70" s="262" t="n">
        <f aca="false">'Annual Summary'!G48</f>
        <v>5152173.22462861</v>
      </c>
      <c r="F70" s="262" t="n">
        <f aca="false">'Annual Summary'!I48</f>
        <v>-5186846.21054386</v>
      </c>
      <c r="G70" s="3"/>
      <c r="H70" s="3"/>
      <c r="I70" s="3"/>
    </row>
    <row r="71" customFormat="false" ht="15" hidden="false" customHeight="true" outlineLevel="0" collapsed="false">
      <c r="A71" s="79" t="s">
        <v>932</v>
      </c>
      <c r="B71" s="266" t="n">
        <f aca="false">'Annual Summary'!B49</f>
        <v>61600.4666666667</v>
      </c>
      <c r="C71" s="262" t="n">
        <f aca="false">'Annual Summary'!C49</f>
        <v>-3048625.10124311</v>
      </c>
      <c r="D71" s="262" t="n">
        <f aca="false">'Annual Summary'!E49</f>
        <v>-8580575.67851067</v>
      </c>
      <c r="E71" s="262" t="n">
        <f aca="false">'Annual Summary'!G49</f>
        <v>-13269257.4343012</v>
      </c>
      <c r="F71" s="262" t="n">
        <f aca="false">'Annual Summary'!I49</f>
        <v>-16476037.1553591</v>
      </c>
      <c r="G71" s="3"/>
      <c r="H71" s="3"/>
      <c r="I71" s="3"/>
    </row>
    <row r="72" customFormat="false" ht="15" hidden="false" customHeight="true" outlineLevel="0" collapsed="false">
      <c r="A72" s="270" t="s">
        <v>933</v>
      </c>
      <c r="B72" s="276" t="n">
        <f aca="false">'Annual Summary'!B51</f>
        <v>2229655.31378602</v>
      </c>
      <c r="C72" s="277" t="n">
        <f aca="false">'Annual Summary'!C51</f>
        <v>1366842.51429008</v>
      </c>
      <c r="D72" s="277" t="n">
        <f aca="false">'Annual Summary'!E51</f>
        <v>4218511.63151522</v>
      </c>
      <c r="E72" s="277" t="n">
        <f aca="false">'Annual Summary'!G51</f>
        <v>-8117084.20967254</v>
      </c>
      <c r="F72" s="277" t="n">
        <f aca="false">'Annual Summary'!I51</f>
        <v>-21662883.365903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101419054.905732</v>
      </c>
      <c r="D98" s="262" t="n">
        <f aca="false">'Annual Summary'!D46</f>
        <v>48459510.652485</v>
      </c>
      <c r="E98" s="262" t="n">
        <f aca="false">'Annual Summary'!E46</f>
        <v>13258584.501624</v>
      </c>
      <c r="F98" s="3"/>
      <c r="G98" s="3"/>
      <c r="H98" s="3"/>
      <c r="I98" s="3"/>
    </row>
    <row r="99" customFormat="false" ht="15" hidden="false" customHeight="true" outlineLevel="0" collapsed="false">
      <c r="A99" s="253" t="s">
        <v>953</v>
      </c>
      <c r="B99" s="254" t="n">
        <f aca="false">B98*0.025</f>
        <v>2346028.93574833</v>
      </c>
      <c r="C99" s="254" t="n">
        <f aca="false">C98*0.025</f>
        <v>2535476.3726433</v>
      </c>
      <c r="D99" s="254" t="n">
        <f aca="false">D98*0.025</f>
        <v>1211487.76631213</v>
      </c>
      <c r="E99" s="254" t="n">
        <f aca="false">E98*0.025</f>
        <v>331464.6125406</v>
      </c>
      <c r="F99" s="3"/>
      <c r="G99" s="3"/>
      <c r="H99" s="3"/>
      <c r="I99" s="3"/>
    </row>
    <row r="100" customFormat="false" ht="15" hidden="false" customHeight="true" outlineLevel="0" collapsed="false">
      <c r="A100" s="79" t="s">
        <v>954</v>
      </c>
      <c r="B100" s="262" t="n">
        <f aca="false">'Annual Summary'!B51</f>
        <v>2229655.31378602</v>
      </c>
      <c r="C100" s="262" t="n">
        <f aca="false">'Annual Summary'!C51</f>
        <v>1366842.51429008</v>
      </c>
      <c r="D100" s="262" t="n">
        <f aca="false">'Annual Summary'!D51</f>
        <v>5287866.20480815</v>
      </c>
      <c r="E100" s="262" t="n">
        <f aca="false">'Annual Summary'!E51</f>
        <v>4218511.63151522</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217635.838005342</v>
      </c>
      <c r="D101" s="262" t="n">
        <f aca="false">'Annual Summary'!D22*0.05</f>
        <v>324482.471535645</v>
      </c>
      <c r="E101" s="262" t="n">
        <f aca="false">'Annual Summary'!E22*0.05</f>
        <v>17214.776355217</v>
      </c>
      <c r="F101" s="3"/>
      <c r="G101" s="3"/>
      <c r="H101" s="3"/>
      <c r="I101" s="3"/>
    </row>
    <row r="102" customFormat="false" ht="15" hidden="false" customHeight="true" outlineLevel="0" collapsed="false">
      <c r="A102" s="79" t="s">
        <v>956</v>
      </c>
      <c r="B102" s="262" t="n">
        <f aca="false">B100+B101</f>
        <v>2337851.29691314</v>
      </c>
      <c r="C102" s="262" t="n">
        <f aca="false">C100+C101</f>
        <v>1584478.35229543</v>
      </c>
      <c r="D102" s="262" t="n">
        <f aca="false">D100+D101</f>
        <v>5612348.6763438</v>
      </c>
      <c r="E102" s="262" t="n">
        <f aca="false">E100+E101</f>
        <v>4235726.40787044</v>
      </c>
      <c r="F102" s="3"/>
      <c r="G102" s="3"/>
      <c r="H102" s="3"/>
      <c r="I102" s="3"/>
    </row>
    <row r="103" customFormat="false" ht="15" hidden="false" customHeight="true" outlineLevel="0" collapsed="false">
      <c r="A103" s="250" t="s">
        <v>957</v>
      </c>
      <c r="B103" s="251" t="n">
        <f aca="false">B102-B99</f>
        <v>-8177.6388351894</v>
      </c>
      <c r="C103" s="251" t="n">
        <f aca="false">C102-C99</f>
        <v>-950998.020347873</v>
      </c>
      <c r="D103" s="251" t="n">
        <f aca="false">D102-D99</f>
        <v>4400860.91003167</v>
      </c>
      <c r="E103" s="251" t="n">
        <f aca="false">E102-E99</f>
        <v>3904261.79532984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1031</v>
      </c>
      <c r="B1" s="284"/>
      <c r="C1" s="284"/>
      <c r="D1" s="284"/>
    </row>
    <row r="3" customFormat="false" ht="15" hidden="false" customHeight="true" outlineLevel="0" collapsed="false">
      <c r="A3" s="23" t="s">
        <v>1032</v>
      </c>
      <c r="B3" s="23"/>
      <c r="C3" s="23"/>
      <c r="D3" s="23"/>
    </row>
    <row r="4" customFormat="false" ht="15" hidden="false" customHeight="true" outlineLevel="0" collapsed="false">
      <c r="A4" s="177" t="s">
        <v>1033</v>
      </c>
      <c r="B4" s="282" t="n">
        <v>0.06</v>
      </c>
    </row>
    <row r="5" customFormat="false" ht="15" hidden="false" customHeight="true" outlineLevel="0" collapsed="false">
      <c r="A5" s="177" t="s">
        <v>877</v>
      </c>
      <c r="B5" s="282" t="n">
        <v>0.06</v>
      </c>
    </row>
    <row r="6" customFormat="false" ht="15" hidden="false" customHeight="true" outlineLevel="0" collapsed="false">
      <c r="A6" s="177" t="s">
        <v>1034</v>
      </c>
      <c r="B6" s="282" t="n">
        <v>0.02</v>
      </c>
    </row>
    <row r="7" customFormat="false" ht="15" hidden="false" customHeight="true" outlineLevel="0" collapsed="false">
      <c r="A7" s="177" t="s">
        <v>1035</v>
      </c>
      <c r="B7" s="180" t="n">
        <f aca="false">B4+B5+B6</f>
        <v>0.14</v>
      </c>
    </row>
    <row r="8" customFormat="false" ht="15" hidden="false" customHeight="true" outlineLevel="0" collapsed="false">
      <c r="A8" s="177"/>
      <c r="B8" s="282"/>
    </row>
    <row r="9" customFormat="false" ht="15" hidden="false" customHeight="true" outlineLevel="0" collapsed="false">
      <c r="A9" s="177" t="s">
        <v>1036</v>
      </c>
      <c r="B9" s="180" t="n">
        <f aca="false">SUM(B10:B12)</f>
        <v>0.120391</v>
      </c>
      <c r="C9" s="1" t="s">
        <v>1037</v>
      </c>
    </row>
    <row r="10" customFormat="false" ht="15" hidden="false" customHeight="true" outlineLevel="0" collapsed="false">
      <c r="A10" s="177" t="s">
        <v>1038</v>
      </c>
      <c r="B10" s="180" t="n">
        <v>0.051596</v>
      </c>
    </row>
    <row r="11" customFormat="false" ht="15" hidden="false" customHeight="true" outlineLevel="0" collapsed="false">
      <c r="A11" s="177" t="s">
        <v>1039</v>
      </c>
      <c r="B11" s="180" t="n">
        <v>0.051596</v>
      </c>
    </row>
    <row r="12" customFormat="false" ht="15" hidden="false" customHeight="true" outlineLevel="0" collapsed="false">
      <c r="A12" s="177" t="s">
        <v>1040</v>
      </c>
      <c r="B12" s="180" t="n">
        <v>0.017199</v>
      </c>
    </row>
    <row r="14" customFormat="false" ht="15" hidden="false" customHeight="true" outlineLevel="0" collapsed="false">
      <c r="A14" s="23" t="s">
        <v>1041</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1042</v>
      </c>
      <c r="B18" s="285" t="n">
        <f aca="false">103966/14337010.8</f>
        <v>0.00725158134079107</v>
      </c>
      <c r="C18" s="1" t="s">
        <v>1043</v>
      </c>
      <c r="D18" s="286"/>
    </row>
    <row r="19" customFormat="false" ht="15" hidden="false" customHeight="true" outlineLevel="0" collapsed="false">
      <c r="A19" s="23" t="s">
        <v>1044</v>
      </c>
      <c r="B19" s="23"/>
      <c r="C19" s="23"/>
      <c r="D19" s="23"/>
    </row>
    <row r="20" customFormat="false" ht="15" hidden="false" customHeight="true" outlineLevel="0" collapsed="false">
      <c r="A20" s="177" t="s">
        <v>1045</v>
      </c>
      <c r="B20" s="282" t="n">
        <v>0.07</v>
      </c>
    </row>
    <row r="21" customFormat="false" ht="15" hidden="false" customHeight="true" outlineLevel="0" collapsed="false">
      <c r="A21" s="177" t="s">
        <v>1046</v>
      </c>
      <c r="B21" s="282" t="n">
        <v>0.005</v>
      </c>
    </row>
    <row r="22" customFormat="false" ht="15" hidden="false" customHeight="true" outlineLevel="0" collapsed="false">
      <c r="A22" s="177" t="s">
        <v>1047</v>
      </c>
      <c r="B22" s="282" t="n">
        <v>0.05</v>
      </c>
    </row>
    <row r="23" customFormat="false" ht="15" hidden="false" customHeight="true" outlineLevel="0" collapsed="false">
      <c r="A23" s="177" t="s">
        <v>1048</v>
      </c>
      <c r="B23" s="282" t="n">
        <v>0.02</v>
      </c>
    </row>
    <row r="25" customFormat="false" ht="15" hidden="false" customHeight="true" outlineLevel="0" collapsed="false">
      <c r="A25" s="23" t="s">
        <v>1049</v>
      </c>
      <c r="B25" s="23"/>
      <c r="C25" s="23"/>
      <c r="D25" s="23"/>
    </row>
    <row r="26" customFormat="false" ht="15" hidden="false" customHeight="true" outlineLevel="0" collapsed="false">
      <c r="A26" s="177" t="s">
        <v>1050</v>
      </c>
      <c r="B26" s="259" t="n">
        <v>0.02</v>
      </c>
    </row>
    <row r="28" customFormat="false" ht="15" hidden="false" customHeight="true" outlineLevel="0" collapsed="false">
      <c r="A28" s="23" t="s">
        <v>1051</v>
      </c>
      <c r="B28" s="23"/>
      <c r="C28" s="23"/>
      <c r="D28" s="23"/>
    </row>
    <row r="29" customFormat="false" ht="15" hidden="false" customHeight="true" outlineLevel="0" collapsed="false">
      <c r="A29" s="177" t="s">
        <v>1052</v>
      </c>
      <c r="B29" s="261" t="n">
        <v>1287106</v>
      </c>
    </row>
    <row r="30" customFormat="false" ht="15" hidden="false" customHeight="true" outlineLevel="0" collapsed="false">
      <c r="A30" s="177" t="s">
        <v>1053</v>
      </c>
      <c r="B30" s="261" t="n">
        <v>658190</v>
      </c>
    </row>
    <row r="32" customFormat="false" ht="15" hidden="false" customHeight="true" outlineLevel="0" collapsed="false">
      <c r="A32" s="23" t="s">
        <v>1054</v>
      </c>
      <c r="B32" s="23"/>
      <c r="C32" s="23"/>
      <c r="D32" s="23"/>
    </row>
    <row r="33" customFormat="false" ht="15" hidden="false" customHeight="true" outlineLevel="0" collapsed="false">
      <c r="A33" s="177" t="s">
        <v>1055</v>
      </c>
      <c r="B33" s="261" t="n">
        <v>1615485</v>
      </c>
    </row>
    <row r="34" customFormat="false" ht="15" hidden="false" customHeight="true" outlineLevel="0" collapsed="false">
      <c r="A34" s="177" t="s">
        <v>1056</v>
      </c>
      <c r="B34" s="282" t="n">
        <v>0.15</v>
      </c>
    </row>
    <row r="35" customFormat="false" ht="15" hidden="false" customHeight="true" outlineLevel="0" collapsed="false">
      <c r="A35" s="177" t="s">
        <v>1057</v>
      </c>
      <c r="B35" s="180" t="n">
        <f aca="false">B34/4</f>
        <v>0.0375</v>
      </c>
    </row>
    <row r="36" customFormat="false" ht="15" hidden="false" customHeight="true" outlineLevel="0" collapsed="false">
      <c r="A36" s="177" t="s">
        <v>1058</v>
      </c>
      <c r="B36" s="261" t="n">
        <v>112000</v>
      </c>
    </row>
    <row r="37" customFormat="false" ht="15" hidden="false" customHeight="true" outlineLevel="0" collapsed="false">
      <c r="A37" s="177" t="s">
        <v>1059</v>
      </c>
      <c r="B37" s="287" t="n">
        <v>10</v>
      </c>
    </row>
    <row r="38" customFormat="false" ht="15" hidden="false" customHeight="true" outlineLevel="0" collapsed="false">
      <c r="A38" s="288" t="s">
        <v>1060</v>
      </c>
    </row>
    <row r="40" customFormat="false" ht="15" hidden="false" customHeight="true" outlineLevel="0" collapsed="false">
      <c r="A40" s="23" t="s">
        <v>1061</v>
      </c>
      <c r="B40" s="23"/>
      <c r="C40" s="23"/>
      <c r="D40" s="23"/>
    </row>
    <row r="41" customFormat="false" ht="15" hidden="false" customHeight="true" outlineLevel="0" collapsed="false">
      <c r="A41" s="177" t="s">
        <v>1062</v>
      </c>
      <c r="B41" s="261" t="n">
        <v>1000000</v>
      </c>
    </row>
    <row r="42" customFormat="false" ht="15" hidden="false" customHeight="true" outlineLevel="0" collapsed="false">
      <c r="A42" s="177" t="s">
        <v>1063</v>
      </c>
      <c r="B42" s="289" t="n">
        <f aca="false">B41*0.25</f>
        <v>250000</v>
      </c>
    </row>
    <row r="43" customFormat="false" ht="15" hidden="false" customHeight="true" outlineLevel="0" collapsed="false">
      <c r="A43" s="177" t="s">
        <v>1064</v>
      </c>
      <c r="B43" s="261" t="n">
        <v>1000000</v>
      </c>
    </row>
    <row r="44" customFormat="false" ht="15" hidden="false" customHeight="true" outlineLevel="0" collapsed="false">
      <c r="A44" s="288" t="s">
        <v>1065</v>
      </c>
    </row>
    <row r="46" customFormat="false" ht="15" hidden="false" customHeight="true" outlineLevel="0" collapsed="false">
      <c r="A46" s="23" t="s">
        <v>1066</v>
      </c>
      <c r="B46" s="23"/>
      <c r="C46" s="23"/>
      <c r="D46" s="23"/>
    </row>
    <row r="47" customFormat="false" ht="15" hidden="false" customHeight="true" outlineLevel="0" collapsed="false">
      <c r="A47" s="177" t="s">
        <v>1067</v>
      </c>
      <c r="B47" s="282" t="n">
        <v>0.01</v>
      </c>
    </row>
    <row r="48" customFormat="false" ht="15" hidden="false" customHeight="true" outlineLevel="0" collapsed="false">
      <c r="A48" s="177" t="s">
        <v>1068</v>
      </c>
      <c r="B48" s="282" t="n">
        <v>0.03</v>
      </c>
    </row>
    <row r="50" customFormat="false" ht="15" hidden="false" customHeight="true" outlineLevel="0" collapsed="false">
      <c r="A50" s="23" t="s">
        <v>1069</v>
      </c>
      <c r="B50" s="23"/>
      <c r="C50" s="290"/>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1070</v>
      </c>
      <c r="B57" s="23"/>
      <c r="C57" s="23"/>
      <c r="D57" s="23"/>
    </row>
    <row r="58" customFormat="false" ht="15" hidden="false" customHeight="true" outlineLevel="0" collapsed="false">
      <c r="A58" s="177" t="s">
        <v>1071</v>
      </c>
      <c r="B58" s="282" t="n">
        <v>0.15</v>
      </c>
    </row>
    <row r="59" customFormat="false" ht="15" hidden="false" customHeight="true" outlineLevel="0" collapsed="false">
      <c r="A59" s="177" t="s">
        <v>1072</v>
      </c>
      <c r="B59" s="180" t="n">
        <f aca="false">B58/4</f>
        <v>0.0375</v>
      </c>
    </row>
    <row r="60" customFormat="false" ht="15" hidden="false" customHeight="true" outlineLevel="0" collapsed="false">
      <c r="A60" s="177" t="s">
        <v>1073</v>
      </c>
      <c r="B60" s="261" t="n">
        <v>0</v>
      </c>
    </row>
    <row r="61" customFormat="false" ht="15" hidden="false" customHeight="true" outlineLevel="0" collapsed="false">
      <c r="A61" s="177" t="s">
        <v>1074</v>
      </c>
      <c r="B61" s="261" t="n">
        <v>0</v>
      </c>
    </row>
    <row r="62" customFormat="false" ht="15" hidden="false" customHeight="true" outlineLevel="0" collapsed="false">
      <c r="A62" s="177" t="s">
        <v>1075</v>
      </c>
      <c r="B62" s="261" t="n">
        <v>1784000</v>
      </c>
    </row>
    <row r="63" customFormat="false" ht="15" hidden="false" customHeight="true" outlineLevel="0" collapsed="false">
      <c r="A63" s="177" t="s">
        <v>1076</v>
      </c>
      <c r="B63" s="261" t="n">
        <v>1766181</v>
      </c>
    </row>
    <row r="64" customFormat="false" ht="15" hidden="false" customHeight="true" outlineLevel="0" collapsed="false">
      <c r="A64" s="288" t="s">
        <v>1077</v>
      </c>
    </row>
    <row r="65" customFormat="false" ht="13.5" hidden="false" customHeight="false" outlineLevel="0" collapsed="false">
      <c r="A65" s="291" t="s">
        <v>1078</v>
      </c>
      <c r="B65" s="292" t="n">
        <v>60000</v>
      </c>
    </row>
    <row r="66" customFormat="false" ht="15" hidden="false" customHeight="true" outlineLevel="0" collapsed="false">
      <c r="A66" s="97" t="s">
        <v>101</v>
      </c>
    </row>
    <row r="67" customFormat="false" ht="15" hidden="false" customHeight="true" outlineLevel="0" collapsed="false">
      <c r="A67" s="90" t="s">
        <v>1079</v>
      </c>
      <c r="B67" s="293" t="n">
        <v>833.33</v>
      </c>
    </row>
    <row r="68" customFormat="false" ht="15" hidden="false" customHeight="true" outlineLevel="0" collapsed="false">
      <c r="A68" s="90" t="s">
        <v>1080</v>
      </c>
      <c r="B68" s="90" t="n">
        <v>5</v>
      </c>
    </row>
    <row r="70" customFormat="false" ht="15" hidden="false" customHeight="true" outlineLevel="0" collapsed="false">
      <c r="A70" s="294" t="s">
        <v>1081</v>
      </c>
      <c r="B70" s="294"/>
    </row>
    <row r="71" customFormat="false" ht="15" hidden="false" customHeight="true" outlineLevel="0" collapsed="false">
      <c r="A71" s="295" t="s">
        <v>1082</v>
      </c>
      <c r="B71" s="296" t="n">
        <v>1134000</v>
      </c>
    </row>
    <row r="72" customFormat="false" ht="15" hidden="false" customHeight="true" outlineLevel="0" collapsed="false">
      <c r="A72" s="297" t="s">
        <v>1083</v>
      </c>
      <c r="B72" s="298" t="n">
        <v>50000</v>
      </c>
    </row>
    <row r="73" customFormat="false" ht="15" hidden="false" customHeight="true" outlineLevel="0" collapsed="false">
      <c r="A73" s="295" t="s">
        <v>1084</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1085</v>
      </c>
      <c r="B75" s="296" t="n">
        <v>264927.15</v>
      </c>
    </row>
    <row r="76" customFormat="false" ht="15" hidden="false" customHeight="true" outlineLevel="0" collapsed="false">
      <c r="A76" s="297" t="s">
        <v>1086</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1087</v>
      </c>
    </row>
    <row r="80" customFormat="false" ht="15" hidden="false" customHeight="true" outlineLevel="0" collapsed="false">
      <c r="A80" s="301" t="s">
        <v>1088</v>
      </c>
      <c r="B80" s="302" t="n">
        <v>1</v>
      </c>
    </row>
    <row r="82" customFormat="false" ht="27.75" hidden="false" customHeight="true" outlineLevel="0" collapsed="false">
      <c r="A82" s="156" t="s">
        <v>1089</v>
      </c>
      <c r="B82" s="156" t="s">
        <v>1090</v>
      </c>
      <c r="C82" s="156" t="s">
        <v>1091</v>
      </c>
    </row>
    <row r="83" customFormat="false" ht="15" hidden="false" customHeight="true" outlineLevel="0" collapsed="false">
      <c r="A83" s="303" t="s">
        <v>1092</v>
      </c>
      <c r="B83" s="304" t="n">
        <v>0</v>
      </c>
      <c r="C83" s="305" t="n">
        <v>0.25</v>
      </c>
    </row>
    <row r="84" customFormat="false" ht="15" hidden="false" customHeight="true" outlineLevel="0" collapsed="false">
      <c r="A84" s="303" t="s">
        <v>1093</v>
      </c>
      <c r="B84" s="304" t="n">
        <v>20000000</v>
      </c>
      <c r="C84" s="305" t="n">
        <v>0.5</v>
      </c>
    </row>
    <row r="85" customFormat="false" ht="15" hidden="false" customHeight="true" outlineLevel="0" collapsed="false">
      <c r="A85" s="303" t="s">
        <v>1094</v>
      </c>
      <c r="B85" s="304" t="n">
        <v>40000000</v>
      </c>
      <c r="C85" s="305" t="n">
        <v>0.75</v>
      </c>
    </row>
    <row r="86" customFormat="false" ht="15" hidden="false" customHeight="true" outlineLevel="0" collapsed="false">
      <c r="A86" s="303" t="s">
        <v>1095</v>
      </c>
      <c r="B86" s="304" t="n">
        <v>60000000</v>
      </c>
      <c r="C86" s="305" t="n">
        <v>1</v>
      </c>
    </row>
    <row r="88" customFormat="false" ht="15" hidden="false" customHeight="true" outlineLevel="0" collapsed="false">
      <c r="A88" s="72" t="s">
        <v>1096</v>
      </c>
    </row>
    <row r="92" customFormat="false" ht="15" hidden="false" customHeight="true" outlineLevel="0" collapsed="false">
      <c r="A92" s="1" t="s">
        <v>1097</v>
      </c>
    </row>
    <row r="93" customFormat="false" ht="15" hidden="false" customHeight="true" outlineLevel="0" collapsed="false">
      <c r="A93" s="1" t="s">
        <v>1098</v>
      </c>
    </row>
    <row r="94" customFormat="false" ht="15" hidden="false" customHeight="true" outlineLevel="0" collapsed="false">
      <c r="A94" s="1" t="s">
        <v>1099</v>
      </c>
    </row>
    <row r="95" customFormat="false" ht="15" hidden="false" customHeight="true" outlineLevel="0" collapsed="false">
      <c r="A95" s="1" t="s">
        <v>1100</v>
      </c>
    </row>
    <row r="96" customFormat="false" ht="15" hidden="false" customHeight="true" outlineLevel="0" collapsed="false">
      <c r="A96" s="1" t="s">
        <v>1101</v>
      </c>
    </row>
    <row r="97" customFormat="false" ht="15" hidden="false" customHeight="true" outlineLevel="0" collapsed="false">
      <c r="A97" s="1" t="s">
        <v>1102</v>
      </c>
    </row>
    <row r="98" customFormat="false" ht="15" hidden="false" customHeight="true" outlineLevel="0" collapsed="false">
      <c r="A98" s="1" t="s">
        <v>1103</v>
      </c>
    </row>
    <row r="99" customFormat="false" ht="15" hidden="false" customHeight="true" outlineLevel="0" collapsed="false">
      <c r="A99" s="1" t="s">
        <v>1104</v>
      </c>
    </row>
    <row r="100" customFormat="false" ht="15" hidden="false" customHeight="true" outlineLevel="0" collapsed="false">
      <c r="A100" s="1" t="s">
        <v>1105</v>
      </c>
    </row>
    <row r="101" customFormat="false" ht="15" hidden="false" customHeight="true" outlineLevel="0" collapsed="false">
      <c r="A101" s="1" t="s">
        <v>1106</v>
      </c>
    </row>
    <row r="102" customFormat="false" ht="15" hidden="false" customHeight="true" outlineLevel="0" collapsed="false">
      <c r="A102" s="1" t="s">
        <v>1107</v>
      </c>
    </row>
    <row r="103" customFormat="false" ht="15" hidden="false" customHeight="true" outlineLevel="0" collapsed="false">
      <c r="A103" s="1" t="s">
        <v>1108</v>
      </c>
    </row>
    <row r="104" customFormat="false" ht="15" hidden="false" customHeight="true" outlineLevel="0" collapsed="false">
      <c r="A104" s="1" t="s">
        <v>1109</v>
      </c>
    </row>
    <row r="105" customFormat="false" ht="15" hidden="false" customHeight="true" outlineLevel="0" collapsed="false">
      <c r="A105" s="1" t="s">
        <v>1110</v>
      </c>
    </row>
    <row r="106" customFormat="false" ht="15" hidden="false" customHeight="true" outlineLevel="0" collapsed="false">
      <c r="A106" s="1" t="s">
        <v>1111</v>
      </c>
    </row>
    <row r="108" customFormat="false" ht="15" hidden="false" customHeight="true" outlineLevel="0" collapsed="false">
      <c r="A108" s="1" t="s">
        <v>1112</v>
      </c>
    </row>
    <row r="109" customFormat="false" ht="15" hidden="false" customHeight="true" outlineLevel="0" collapsed="false">
      <c r="A109" s="1" t="s">
        <v>1113</v>
      </c>
    </row>
    <row r="110" customFormat="false" ht="15" hidden="false" customHeight="true" outlineLevel="0" collapsed="false">
      <c r="A110" s="1" t="s">
        <v>1114</v>
      </c>
    </row>
    <row r="112" customFormat="false" ht="15" hidden="false" customHeight="true" outlineLevel="0" collapsed="false">
      <c r="A112" s="1" t="s">
        <v>1115</v>
      </c>
    </row>
    <row r="113" customFormat="false" ht="15" hidden="false" customHeight="true" outlineLevel="0" collapsed="false">
      <c r="A113" s="1" t="s">
        <v>1116</v>
      </c>
    </row>
    <row r="114" customFormat="false" ht="15" hidden="false" customHeight="true" outlineLevel="0" collapsed="false">
      <c r="A114" s="1" t="s">
        <v>1117</v>
      </c>
    </row>
    <row r="115" customFormat="false" ht="15" hidden="false" customHeight="true" outlineLevel="0" collapsed="false">
      <c r="A115" s="1" t="s">
        <v>1118</v>
      </c>
    </row>
    <row r="117" customFormat="false" ht="15" hidden="false" customHeight="true" outlineLevel="0" collapsed="false">
      <c r="A117" s="1" t="s">
        <v>1119</v>
      </c>
    </row>
    <row r="118" customFormat="false" ht="15" hidden="false" customHeight="true" outlineLevel="0" collapsed="false">
      <c r="A118" s="1" t="s">
        <v>1120</v>
      </c>
    </row>
    <row r="119" customFormat="false" ht="15" hidden="false" customHeight="true" outlineLevel="0" collapsed="false">
      <c r="A119" s="1" t="s">
        <v>1121</v>
      </c>
    </row>
    <row r="120" customFormat="false" ht="15" hidden="false" customHeight="true" outlineLevel="0" collapsed="false">
      <c r="A120" s="1" t="s">
        <v>1122</v>
      </c>
    </row>
    <row r="121" customFormat="false" ht="15" hidden="false" customHeight="true" outlineLevel="0" collapsed="false">
      <c r="A121" s="1" t="s">
        <v>1123</v>
      </c>
    </row>
    <row r="130" customFormat="false" ht="15" hidden="false" customHeight="true" outlineLevel="0" collapsed="false">
      <c r="A130" s="1" t="s">
        <v>1124</v>
      </c>
    </row>
    <row r="131" customFormat="false" ht="15" hidden="false" customHeight="true" outlineLevel="0" collapsed="false">
      <c r="A131" s="1" t="s">
        <v>1125</v>
      </c>
    </row>
    <row r="132" customFormat="false" ht="15" hidden="false" customHeight="true" outlineLevel="0" collapsed="false">
      <c r="A132" s="1" t="s">
        <v>1126</v>
      </c>
    </row>
    <row r="133" customFormat="false" ht="15" hidden="false" customHeight="true" outlineLevel="0" collapsed="false">
      <c r="A133" s="1" t="s">
        <v>1127</v>
      </c>
    </row>
    <row r="134" customFormat="false" ht="15" hidden="false" customHeight="true" outlineLevel="0" collapsed="false">
      <c r="A134" s="1" t="s">
        <v>1128</v>
      </c>
    </row>
    <row r="135" customFormat="false" ht="15" hidden="false" customHeight="true" outlineLevel="0" collapsed="false">
      <c r="A135" s="1" t="s">
        <v>1129</v>
      </c>
    </row>
    <row r="136" customFormat="false" ht="15" hidden="false" customHeight="true" outlineLevel="0" collapsed="false">
      <c r="A136" s="1" t="s">
        <v>1130</v>
      </c>
    </row>
    <row r="137" customFormat="false" ht="15" hidden="false" customHeight="true" outlineLevel="0" collapsed="false">
      <c r="A137" s="1" t="s">
        <v>1131</v>
      </c>
    </row>
    <row r="138" customFormat="false" ht="15" hidden="false" customHeight="true" outlineLevel="0" collapsed="false">
      <c r="A138" s="1" t="s">
        <v>1132</v>
      </c>
    </row>
    <row r="139" customFormat="false" ht="15" hidden="false" customHeight="true" outlineLevel="0" collapsed="false">
      <c r="A139" s="1" t="s">
        <v>1133</v>
      </c>
    </row>
    <row r="141" customFormat="false" ht="15" hidden="false" customHeight="true" outlineLevel="0" collapsed="false">
      <c r="A141" s="1" t="s">
        <v>1134</v>
      </c>
    </row>
    <row r="142" customFormat="false" ht="15" hidden="false" customHeight="true" outlineLevel="0" collapsed="false">
      <c r="A142" s="1" t="s">
        <v>1135</v>
      </c>
    </row>
    <row r="143" customFormat="false" ht="15" hidden="false" customHeight="true" outlineLevel="0" collapsed="false">
      <c r="A143" s="1" t="s">
        <v>1136</v>
      </c>
    </row>
    <row r="144" customFormat="false" ht="15" hidden="false" customHeight="true" outlineLevel="0" collapsed="false">
      <c r="A144" s="1" t="s">
        <v>1137</v>
      </c>
    </row>
    <row r="145" customFormat="false" ht="15" hidden="false" customHeight="true" outlineLevel="0" collapsed="false">
      <c r="A145" s="1" t="s">
        <v>1138</v>
      </c>
    </row>
    <row r="146" customFormat="false" ht="15" hidden="false" customHeight="true" outlineLevel="0" collapsed="false">
      <c r="A146" s="1" t="s">
        <v>1139</v>
      </c>
    </row>
    <row r="147" customFormat="false" ht="15" hidden="false" customHeight="true" outlineLevel="0" collapsed="false">
      <c r="A147" s="1" t="s">
        <v>1140</v>
      </c>
    </row>
    <row r="148" customFormat="false" ht="15" hidden="false" customHeight="true" outlineLevel="0" collapsed="false">
      <c r="A148" s="1" t="s">
        <v>1141</v>
      </c>
    </row>
    <row r="149" customFormat="false" ht="15" hidden="false" customHeight="true" outlineLevel="0" collapsed="false">
      <c r="A149" s="1" t="s">
        <v>1142</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1143</v>
      </c>
      <c r="B1" s="4" t="s">
        <v>1144</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1145</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1146</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456525.0924</v>
      </c>
      <c r="AC4" s="289" t="n">
        <f aca="false">(SUMPRODUCT((Personnel!$O$9:$O$100&lt;&gt;"")*(Personnel!$G$9:$G$100="Yes")*(27&gt;=Personnel!$E$9:$E$100)*((Personnel!$K$9:$K$100="")+(27&lt;=Personnel!$K$9:$K$100)&gt;0)*Personnel!$D$9:$D$100*(1-Personnel!$H$9:$H$100))+Staffing!AE81)*Escalation!$B$28</f>
        <v>456525.0924</v>
      </c>
      <c r="AD4" s="289" t="n">
        <f aca="false">(SUMPRODUCT((Personnel!$O$9:$O$100&lt;&gt;"")*(Personnel!$G$9:$G$100="Yes")*(28&gt;=Personnel!$E$9:$E$100)*((Personnel!$K$9:$K$100="")+(28&lt;=Personnel!$K$9:$K$100)&gt;0)*Personnel!$D$9:$D$100*(1-Personnel!$H$9:$H$100))+Staffing!AF81)*Escalation!$B$29</f>
        <v>456525.0924</v>
      </c>
      <c r="AE4" s="289" t="n">
        <f aca="false">(SUMPRODUCT((Personnel!$O$9:$O$100&lt;&gt;"")*(Personnel!$G$9:$G$100="Yes")*(29&gt;=Personnel!$E$9:$E$100)*((Personnel!$K$9:$K$100="")+(29&lt;=Personnel!$K$9:$K$100)&gt;0)*Personnel!$D$9:$D$100*(1-Personnel!$H$9:$H$100))+Staffing!AG81)*Escalation!$B$30</f>
        <v>456525.0924</v>
      </c>
      <c r="AF4" s="289" t="n">
        <f aca="false">(SUMPRODUCT((Personnel!$O$9:$O$100&lt;&gt;"")*(Personnel!$G$9:$G$100="Yes")*(30&gt;=Personnel!$E$9:$E$100)*((Personnel!$K$9:$K$100="")+(30&lt;=Personnel!$K$9:$K$100)&gt;0)*Personnel!$D$9:$D$100*(1-Personnel!$H$9:$H$100))+Staffing!AH81)*Escalation!$B$31</f>
        <v>442653.0924</v>
      </c>
      <c r="AG4" s="289" t="n">
        <f aca="false">(SUMPRODUCT((Personnel!$O$9:$O$100&lt;&gt;"")*(Personnel!$G$9:$G$100="Yes")*(31&gt;=Personnel!$E$9:$E$100)*((Personnel!$K$9:$K$100="")+(31&lt;=Personnel!$K$9:$K$100)&gt;0)*Personnel!$D$9:$D$100*(1-Personnel!$H$9:$H$100))+Staffing!AI81)*Escalation!$B$32</f>
        <v>442653.0924</v>
      </c>
      <c r="AH4" s="289" t="n">
        <f aca="false">(SUMPRODUCT((Personnel!$O$9:$O$100&lt;&gt;"")*(Personnel!$G$9:$G$100="Yes")*(32&gt;=Personnel!$E$9:$E$100)*((Personnel!$K$9:$K$100="")+(32&lt;=Personnel!$K$9:$K$100)&gt;0)*Personnel!$D$9:$D$100*(1-Personnel!$H$9:$H$100))+Staffing!AJ81)*Escalation!$B$33</f>
        <v>442653.0924</v>
      </c>
      <c r="AI4" s="289" t="n">
        <f aca="false">(SUMPRODUCT((Personnel!$O$9:$O$100&lt;&gt;"")*(Personnel!$G$9:$G$100="Yes")*(33&gt;=Personnel!$E$9:$E$100)*((Personnel!$K$9:$K$100="")+(33&lt;=Personnel!$K$9:$K$100)&gt;0)*Personnel!$D$9:$D$100*(1-Personnel!$H$9:$H$100))+Staffing!AK81)*Escalation!$B$34</f>
        <v>442653.0924</v>
      </c>
      <c r="AJ4" s="289" t="n">
        <f aca="false">(SUMPRODUCT((Personnel!$O$9:$O$100&lt;&gt;"")*(Personnel!$G$9:$G$100="Yes")*(34&gt;=Personnel!$E$9:$E$100)*((Personnel!$K$9:$K$100="")+(34&lt;=Personnel!$K$9:$K$100)&gt;0)*Personnel!$D$9:$D$100*(1-Personnel!$H$9:$H$100))+Staffing!AL81)*Escalation!$B$35</f>
        <v>435717.0924</v>
      </c>
      <c r="AK4" s="289" t="n">
        <f aca="false">(SUMPRODUCT((Personnel!$O$9:$O$100&lt;&gt;"")*(Personnel!$G$9:$G$100="Yes")*(35&gt;=Personnel!$E$9:$E$100)*((Personnel!$K$9:$K$100="")+(35&lt;=Personnel!$K$9:$K$100)&gt;0)*Personnel!$D$9:$D$100*(1-Personnel!$H$9:$H$100))+Staffing!AM81)*Escalation!$B$36</f>
        <v>381096.0924</v>
      </c>
      <c r="AL4" s="289" t="n">
        <f aca="false">(SUMPRODUCT((Personnel!$O$9:$O$100&lt;&gt;"")*(Personnel!$G$9:$G$100="Yes")*(36&gt;=Personnel!$E$9:$E$100)*((Personnel!$K$9:$K$100="")+(36&lt;=Personnel!$K$9:$K$100)&gt;0)*Personnel!$D$9:$D$100*(1-Personnel!$H$9:$H$100))+Staffing!AN81)*Escalation!$B$37</f>
        <v>356386.5924</v>
      </c>
      <c r="AM4" s="289" t="n">
        <f aca="false">(SUMPRODUCT((Personnel!$O$9:$O$100&lt;&gt;"")*(Personnel!$G$9:$G$100="Yes")*(37&gt;=Personnel!$E$9:$E$100)*((Personnel!$K$9:$K$100="")+(37&lt;=Personnel!$K$9:$K$100)&gt;0)*Personnel!$D$9:$D$100*(1-Personnel!$H$9:$H$100))+Staffing!AO81)*Escalation!$B$38</f>
        <v>363514.324248</v>
      </c>
      <c r="AN4" s="289" t="n">
        <f aca="false">(SUMPRODUCT((Personnel!$O$9:$O$100&lt;&gt;"")*(Personnel!$G$9:$G$100="Yes")*(38&gt;=Personnel!$E$9:$E$100)*((Personnel!$K$9:$K$100="")+(38&lt;=Personnel!$K$9:$K$100)&gt;0)*Personnel!$D$9:$D$100*(1-Personnel!$H$9:$H$100))+Staffing!AP81)*Escalation!$B$39</f>
        <v>363514.324248</v>
      </c>
      <c r="AO4" s="289" t="n">
        <f aca="false">(SUMPRODUCT((Personnel!$O$9:$O$100&lt;&gt;"")*(Personnel!$G$9:$G$100="Yes")*(39&gt;=Personnel!$E$9:$E$100)*((Personnel!$K$9:$K$100="")+(39&lt;=Personnel!$K$9:$K$100)&gt;0)*Personnel!$D$9:$D$100*(1-Personnel!$H$9:$H$100))+Staffing!AQ81)*Escalation!$B$40</f>
        <v>340963.654248</v>
      </c>
      <c r="AP4" s="289" t="n">
        <f aca="false">(SUMPRODUCT((Personnel!$O$9:$O$100&lt;&gt;"")*(Personnel!$G$9:$G$100="Yes")*(40&gt;=Personnel!$E$9:$E$100)*((Personnel!$K$9:$K$100="")+(40&lt;=Personnel!$K$9:$K$100)&gt;0)*Personnel!$D$9:$D$100*(1-Personnel!$H$9:$H$100))+Staffing!AR81)*Escalation!$B$41</f>
        <v>340963.654248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1147</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1148</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1149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1150</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8" t="s">
        <v>1151</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1152</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1153</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8" t="s">
        <v>1154</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1155</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1156</v>
      </c>
      <c r="B25" s="1" t="s">
        <v>1157</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1158</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1159</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1160</v>
      </c>
      <c r="B30" s="294"/>
      <c r="C30" s="294"/>
      <c r="D30" s="294"/>
      <c r="E30" s="294"/>
      <c r="F30" s="294"/>
      <c r="G30" s="294"/>
      <c r="H30" s="294"/>
      <c r="I30" s="294"/>
    </row>
    <row r="31" customFormat="false" ht="15" hidden="false" customHeight="true" outlineLevel="0" collapsed="false">
      <c r="A31" s="311" t="s">
        <v>1161</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1162</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1163</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1164</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1165</v>
      </c>
      <c r="B51" s="294"/>
      <c r="C51" s="294"/>
      <c r="D51" s="294"/>
      <c r="E51" s="294"/>
      <c r="F51" s="294"/>
      <c r="G51" s="294"/>
    </row>
    <row r="52" customFormat="false" ht="15" hidden="false" customHeight="true" outlineLevel="0" collapsed="false">
      <c r="A52" s="311" t="s">
        <v>1166</v>
      </c>
      <c r="B52" s="311" t="s">
        <v>1167</v>
      </c>
      <c r="C52" s="311" t="s">
        <v>1168</v>
      </c>
      <c r="D52" s="311" t="s">
        <v>1169</v>
      </c>
      <c r="E52" s="311" t="s">
        <v>1170</v>
      </c>
      <c r="F52" s="311" t="s">
        <v>1171</v>
      </c>
      <c r="G52" s="311" t="s">
        <v>1172</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1173</v>
      </c>
      <c r="D93" s="313" t="n">
        <f aca="false">SUM(D53:D92)</f>
        <v>270925.32</v>
      </c>
      <c r="F93" s="313" t="n">
        <f aca="false">SUM(F53:F92)</f>
        <v>240125.881206445</v>
      </c>
      <c r="G93" s="313" t="n">
        <f aca="false">SUM(G53:G92)</f>
        <v>810147.428211617</v>
      </c>
    </row>
    <row r="94" customFormat="false" ht="15" hidden="false" customHeight="true" outlineLevel="0" collapsed="false">
      <c r="A94" s="1" t="s">
        <v>1174</v>
      </c>
    </row>
    <row r="95" customFormat="false" ht="15" hidden="false" customHeight="true" outlineLevel="0" collapsed="false">
      <c r="A95" s="1" t="s">
        <v>1175</v>
      </c>
    </row>
    <row r="96" customFormat="false" ht="15" hidden="false" customHeight="true" outlineLevel="0" collapsed="false">
      <c r="A96" s="72" t="s">
        <v>1176</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1177</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1178</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0.0941036661188074</v>
      </c>
      <c r="S98" s="316" t="n">
        <f aca="false">IFERROR((S97-S96)/(Model!R199-(Model!R196)),0)</f>
        <v>0.182188751342702</v>
      </c>
      <c r="T98" s="316" t="n">
        <f aca="false">IFERROR((T97-T96)/(Model!S199-(Model!S196)),0)</f>
        <v>0.237098905715653</v>
      </c>
      <c r="U98" s="316" t="n">
        <f aca="false">IFERROR((U97-U96)/(Model!T199-(Model!T196)),0)</f>
        <v>0.29026190615428</v>
      </c>
      <c r="V98" s="316" t="n">
        <f aca="false">IFERROR((V97-V96)/(Model!U199-(Model!U196)),0)</f>
        <v>0.317086222337306</v>
      </c>
      <c r="W98" s="316" t="n">
        <f aca="false">IFERROR((W97-W96)/(Model!V199-(Model!V196)),0)</f>
        <v>0.296707417973897</v>
      </c>
      <c r="X98" s="316" t="n">
        <f aca="false">IFERROR((X97-X96)/(Model!W199-(Model!W196)),0)</f>
        <v>0.326535447952077</v>
      </c>
      <c r="Y98" s="316" t="n">
        <f aca="false">IFERROR((Y97-Y96)/(Model!X199-(Model!X196)),0)</f>
        <v>0.343121427203544</v>
      </c>
      <c r="Z98" s="316" t="n">
        <f aca="false">IFERROR((Z97-Z96)/(Model!Y199-(Model!Y196)),0)</f>
        <v>0.387771107663847</v>
      </c>
      <c r="AA98" s="316" t="n">
        <f aca="false">IFERROR((AA97-AA96)/(Model!Z199-(Model!Z196)),0)</f>
        <v>0.351994798311129</v>
      </c>
      <c r="AB98" s="316" t="n">
        <f aca="false">IFERROR((AB97-AB96)/(Model!AA199-(Model!AA196)),0)</f>
        <v>0.344636512918073</v>
      </c>
      <c r="AC98" s="316" t="n">
        <f aca="false">IFERROR((AC97-AC96)/(Model!AB199-(Model!AB196)),0)</f>
        <v>0.397605574419749</v>
      </c>
      <c r="AD98" s="316" t="n">
        <f aca="false">IFERROR((AD97-AD96)/(Model!AC199-(Model!AC196)),0)</f>
        <v>0.490062695097457</v>
      </c>
      <c r="AE98" s="316" t="n">
        <f aca="false">IFERROR((AE97-AE96)/(Model!AD199-(Model!AD196)),0)</f>
        <v>0.478889190963359</v>
      </c>
      <c r="AF98" s="316" t="n">
        <f aca="false">IFERROR((AF97-AF96)/(Model!AE199-(Model!AE196)),0)</f>
        <v>0.417288252367377</v>
      </c>
      <c r="AG98" s="316" t="n">
        <f aca="false">IFERROR((AG97-AG96)/(Model!AF199-(Model!AF196)),0)</f>
        <v>0.43287850561696</v>
      </c>
      <c r="AH98" s="316" t="n">
        <f aca="false">IFERROR((AH97-AH96)/(Model!AG199-(Model!AG196)),0)</f>
        <v>0.316307383883303</v>
      </c>
      <c r="AI98" s="316" t="n">
        <f aca="false">IFERROR((AI97-AI96)/(Model!AH199-(Model!AH196)),0)</f>
        <v>0.355678861688736</v>
      </c>
      <c r="AJ98" s="316" t="n">
        <f aca="false">IFERROR((AJ97-AJ96)/(Model!AI199-(Model!AI196)),0)</f>
        <v>0.357687462324704</v>
      </c>
      <c r="AK98" s="316" t="n">
        <f aca="false">IFERROR((AK97-AK96)/(Model!AJ199-(Model!AJ196)),0)</f>
        <v>0.405853206272898</v>
      </c>
      <c r="AL98" s="316" t="n">
        <f aca="false">IFERROR((AL97-AL96)/(Model!AK199-(Model!AK196)),0)</f>
        <v>0.44754353115685</v>
      </c>
      <c r="AM98" s="316" t="n">
        <f aca="false">IFERROR((AM97-AM96)/(Model!AL199-(Model!AL196)),0)</f>
        <v>0.422365875007451</v>
      </c>
      <c r="AN98" s="316" t="n">
        <f aca="false">IFERROR((AN97-AN96)/(Model!AM199-(Model!AM196)),0)</f>
        <v>0.199466510433645</v>
      </c>
      <c r="AO98" s="316" t="n">
        <f aca="false">IFERROR((AO97-AO96)/(Model!AN199-(Model!AN196)),0)</f>
        <v>0.243678682180925</v>
      </c>
      <c r="AP98" s="316" t="n">
        <f aca="false">IFERROR((AP97-AP96)/(Model!AO199-(Model!AO196)),0)</f>
        <v>0.265324582610076</v>
      </c>
      <c r="AQ98" s="316" t="n">
        <f aca="false">IFERROR((AQ97-AQ96)/(Model!AP199-(Model!AP196)),0)</f>
        <v>0.265324582610076</v>
      </c>
      <c r="AR98" s="316" t="n">
        <f aca="false">IFERROR((AR97-AR96)/(Model!AQ199-(Model!AQ196)),0)</f>
        <v>0.265324582610077</v>
      </c>
      <c r="AS98" s="316" t="n">
        <f aca="false">IFERROR((AS97-AS96)/(Model!AR199-(Model!AR196)),0)</f>
        <v>0.265324582610076</v>
      </c>
      <c r="AT98" s="316" t="n">
        <f aca="false">IFERROR((AT97-AT96)/(Model!AS199-(Model!AS196)),0)</f>
        <v>0.265324582610077</v>
      </c>
      <c r="AU98" s="316" t="n">
        <f aca="false">IFERROR((AU97-AU96)/(Model!AT199-(Model!AT196)),0)</f>
        <v>0.165187542199159</v>
      </c>
      <c r="AV98" s="316" t="n">
        <f aca="false">IFERROR((AV97-AV96)/(Model!AU199-(Model!AU196)),0)</f>
        <v>0.631265287072981</v>
      </c>
      <c r="AW98" s="316" t="n">
        <f aca="false">IFERROR((AW97-AW96)/(Model!AV199-(Model!AV196)),0)</f>
        <v>0</v>
      </c>
      <c r="AX98" s="316" t="n">
        <f aca="false">IFERROR((AX97-AX96)/(Model!AW199-(Model!AW196)),0)</f>
        <v>0</v>
      </c>
      <c r="AY98" s="316" t="n">
        <f aca="false">IFERROR((AY97-AY96)/(Model!AX199-(Model!AX196)),0)</f>
        <v>0</v>
      </c>
      <c r="AZ98" s="316" t="n">
        <f aca="false">IFERROR((AZ97-AZ96)/(Model!AY199-(Model!AY196)),0)</f>
        <v>0</v>
      </c>
      <c r="BA98" s="316" t="n">
        <f aca="false">IFERROR((BA97-BA96)/(Model!AZ199-(Model!AZ196)),0)</f>
        <v>0</v>
      </c>
      <c r="BB98" s="316" t="n">
        <f aca="false">IFERROR((BB97-BB96)/(Model!BA199-(Model!BA196)),0)</f>
        <v>0</v>
      </c>
      <c r="BC98" s="316" t="n">
        <f aca="false">IFERROR((BC97-BC96)/(Model!BB199-(Model!BB196)),0)</f>
        <v>0</v>
      </c>
      <c r="BD98" s="316" t="n">
        <f aca="false">IFERROR((BD97-BD96)/(Model!BC199-(Model!BC196)),0)</f>
        <v>0</v>
      </c>
      <c r="BE98" s="316" t="n">
        <f aca="false">IFERROR((BE97-BE96)/(Model!BD199-(Model!BD196)),0)</f>
        <v>0</v>
      </c>
      <c r="BF98" s="316" t="n">
        <f aca="false">IFERROR((BF97-BF96)/(Model!BE199-(Model!BE196)),0)</f>
        <v>0</v>
      </c>
      <c r="BG98" s="316" t="n">
        <f aca="false">IFERROR((BG97-BG96)/(Model!BF199-(Model!BF196)),0)</f>
        <v>0</v>
      </c>
      <c r="BH98" s="316" t="n">
        <f aca="false">IFERROR((BH97-BH96)/(Model!BG199-(Model!BG196)),0)</f>
        <v>0</v>
      </c>
      <c r="BI98" s="316" t="n">
        <f aca="false">IFERROR((BI97-BI96)/(Model!BH199-(Model!BH196)),0)</f>
        <v>0</v>
      </c>
      <c r="BJ98" s="316" t="n">
        <f aca="false">IFERROR((BJ97-BJ96)/(Model!BI199-(Model!BI196)),0)</f>
        <v>0</v>
      </c>
      <c r="BK98" s="316" t="n">
        <f aca="false">IFERROR((BK97-BK96)/(Model!BJ199-(Model!BJ196)),0)</f>
        <v>0</v>
      </c>
      <c r="BL98" s="316" t="n">
        <f aca="false">IFERROR((BL97-BL96)/(Model!BK199-(Model!BK196)),0)</f>
        <v>0</v>
      </c>
      <c r="BM98" s="316" t="n">
        <f aca="false">IFERROR((BM97-BM96)/(Model!BL199-(Model!BL196)),0)</f>
        <v>0</v>
      </c>
      <c r="BN98" s="316" t="n">
        <f aca="false">IFERROR((BN97-BN96)/(Model!BM199-(Model!BM196)),0)</f>
        <v>0</v>
      </c>
      <c r="BO98" s="316" t="n">
        <f aca="false">IFERROR((BO97-BO96)/(Model!BN199-(Model!BN196)),0)</f>
        <v>0</v>
      </c>
      <c r="BP98" s="316" t="n">
        <f aca="false">IFERROR((BP97-BP96)/(Model!BO199-(Model!BO196)),0)</f>
        <v>0</v>
      </c>
      <c r="BQ98" s="316" t="n">
        <f aca="false">IFERROR((BQ97-BQ96)/(Model!BP199-(Model!BP196)),0)</f>
        <v>0</v>
      </c>
      <c r="BR98" s="316" t="n">
        <f aca="false">IFERROR((BR97-BR96)/(Model!BQ199-(Model!BQ196)),0)</f>
        <v>0</v>
      </c>
      <c r="BS98" s="316" t="n">
        <f aca="false">IFERROR((BS97-BS96)/(Model!BR199-(Model!BR196)),0)</f>
        <v>0</v>
      </c>
      <c r="BT98" s="316" t="n">
        <f aca="false">IFERROR((BT97-BT96)/(Model!BS199-(Model!BS196)),0)</f>
        <v>0</v>
      </c>
      <c r="BU98" s="316" t="n">
        <f aca="false">IFERROR((BU97-BU96)/(Model!BT199-(Model!BT196)),0)</f>
        <v>0</v>
      </c>
      <c r="BV98" s="316" t="n">
        <f aca="false">IFERROR((BV97-BV96)/(Model!BU199-(Model!BU196)),0)</f>
        <v>0</v>
      </c>
      <c r="BW98" s="316" t="n">
        <f aca="false">IFERROR((BW97-BW96)/(Model!BV199-(Model!BV196)),0)</f>
        <v>0</v>
      </c>
      <c r="BX98" s="316" t="n">
        <f aca="false">IFERROR((BX97-BX96)/(Model!BW199-(Model!BW196)),0)</f>
        <v>0</v>
      </c>
      <c r="BY98" s="316" t="n">
        <f aca="false">IFERROR((BY97-BY96)/(Model!BX199-(Model!BX196)),0)</f>
        <v>0</v>
      </c>
      <c r="BZ98" s="316" t="n">
        <f aca="false">IFERROR((BZ97-BZ96)/(Model!BY199-(Model!BY196)),0)</f>
        <v>0</v>
      </c>
      <c r="CA98" s="316" t="n">
        <f aca="false">IFERROR((CA97-CA96)/(Model!BZ199-(Model!BZ196)),0)</f>
        <v>0</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1179</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403917.158176932</v>
      </c>
      <c r="S99" s="315" t="n">
        <f aca="false">Model!R199+SUM(Model!R203:R233)+Model!R235-(Model!R196)</f>
        <v>391434.386270182</v>
      </c>
      <c r="T99" s="315" t="n">
        <f aca="false">Model!S199+SUM(Model!S203:S233)+Model!S235-(Model!S196)</f>
        <v>469925.266146933</v>
      </c>
      <c r="U99" s="315" t="n">
        <f aca="false">Model!T199+SUM(Model!T203:T233)+Model!T235-(Model!T196)</f>
        <v>645755.091280881</v>
      </c>
      <c r="V99" s="315" t="n">
        <f aca="false">Model!U199+SUM(Model!U203:U233)+Model!U235-(Model!U196)</f>
        <v>558775.801280881</v>
      </c>
      <c r="W99" s="315" t="n">
        <f aca="false">Model!V199+SUM(Model!V203:V233)+Model!V235-(Model!V196)</f>
        <v>637354.891280879</v>
      </c>
      <c r="X99" s="315" t="n">
        <f aca="false">Model!W199+SUM(Model!W203:W233)+Model!W235-(Model!W196)</f>
        <v>525668.591280882</v>
      </c>
      <c r="Y99" s="315" t="n">
        <f aca="false">Model!X199+SUM(Model!X203:X233)+Model!X235-(Model!X196)</f>
        <v>819546.536139797</v>
      </c>
      <c r="Z99" s="315" t="n">
        <f aca="false">Model!Y199+SUM(Model!Y203:Y233)+Model!Y235-(Model!Y196)</f>
        <v>657785.716139796</v>
      </c>
      <c r="AA99" s="315" t="n">
        <f aca="false">Model!Z199+SUM(Model!Z203:Z233)+Model!Z235-(Model!Z196)</f>
        <v>786682.136524411</v>
      </c>
      <c r="AB99" s="315" t="n">
        <f aca="false">Model!AA199+SUM(Model!AA203:AA233)+Model!AA235-(Model!AA196)</f>
        <v>825536.174500936</v>
      </c>
      <c r="AC99" s="315" t="n">
        <f aca="false">Model!AB199+SUM(Model!AB203:AB233)+Model!AB235-(Model!AB196)</f>
        <v>640836.606246588</v>
      </c>
      <c r="AD99" s="315" t="n">
        <f aca="false">Model!AC199+SUM(Model!AC203:AC233)+Model!AC235-(Model!AC196)</f>
        <v>406957.915582878</v>
      </c>
      <c r="AE99" s="315" t="n">
        <f aca="false">Model!AD199+SUM(Model!AD203:AD233)+Model!AD235-(Model!AD196)</f>
        <v>436277.126159801</v>
      </c>
      <c r="AF99" s="315" t="n">
        <f aca="false">Model!AE199+SUM(Model!AE203:AE233)+Model!AE235-(Model!AE196)</f>
        <v>606791.853951426</v>
      </c>
      <c r="AG99" s="315" t="n">
        <f aca="false">Model!AF199+SUM(Model!AF203:AF233)+Model!AF235-(Model!AF196)</f>
        <v>776411.668066138</v>
      </c>
      <c r="AH99" s="315" t="n">
        <f aca="false">Model!AG199+SUM(Model!AG203:AG233)+Model!AG235-(Model!AG196)</f>
        <v>686508.756317664</v>
      </c>
      <c r="AI99" s="315" t="n">
        <f aca="false">Model!AH199+SUM(Model!AH203:AH233)+Model!AH235-(Model!AH196)</f>
        <v>553391.181048071</v>
      </c>
      <c r="AJ99" s="315" t="n">
        <f aca="false">Model!AI199+SUM(Model!AI203:AI233)+Model!AI235-(Model!AI196)</f>
        <v>559532.003355763</v>
      </c>
      <c r="AK99" s="315" t="n">
        <f aca="false">Model!AJ199+SUM(Model!AJ203:AJ233)+Model!AJ235-(Model!AJ196)</f>
        <v>657098.621016764</v>
      </c>
      <c r="AL99" s="315" t="n">
        <f aca="false">Model!AK199+SUM(Model!AK203:AK233)+Model!AK235-(Model!AK196)</f>
        <v>286498.730898127</v>
      </c>
      <c r="AM99" s="315" t="n">
        <f aca="false">Model!AL199+SUM(Model!AL203:AL233)+Model!AL235-(Model!AL196)</f>
        <v>277362.715124731</v>
      </c>
      <c r="AN99" s="315" t="n">
        <f aca="false">Model!AM199+SUM(Model!AM203:AM233)+Model!AM235-(Model!AM196)</f>
        <v>87443.5075491389</v>
      </c>
      <c r="AO99" s="315" t="n">
        <f aca="false">Model!AN199+SUM(Model!AN203:AN233)+Model!AN235-(Model!AN196)</f>
        <v>33792.2965876007</v>
      </c>
      <c r="AP99" s="315" t="n">
        <f aca="false">Model!AO199+SUM(Model!AO203:AO233)+Model!AO235-(Model!AO196)</f>
        <v>7112.57378519768</v>
      </c>
      <c r="AQ99" s="315" t="n">
        <f aca="false">Model!AP199+SUM(Model!AP203:AP233)+Model!AP235-(Model!AP196)</f>
        <v>7112.57378519768</v>
      </c>
      <c r="AR99" s="315" t="n">
        <f aca="false">Model!AQ199+SUM(Model!AQ203:AQ233)+Model!AQ235-(Model!AQ196)</f>
        <v>13317.7063198126</v>
      </c>
      <c r="AS99" s="315" t="n">
        <f aca="false">Model!AR199+SUM(Model!AR203:AR233)+Model!AR235-(Model!AR196)</f>
        <v>32933.0909351977</v>
      </c>
      <c r="AT99" s="315" t="n">
        <f aca="false">Model!AS199+SUM(Model!AS203:AS233)+Model!AS235-(Model!AS196)</f>
        <v>35974.8225698126</v>
      </c>
      <c r="AU99" s="315" t="n">
        <f aca="false">Model!AT199+SUM(Model!AT203:AT233)+Model!AT235-(Model!AT196)</f>
        <v>318075.792538697</v>
      </c>
      <c r="AV99" s="315" t="n">
        <f aca="false">Model!AU199+SUM(Model!AU203:AU233)+Model!AU235-(Model!AU196)</f>
        <v>23663.2513708199</v>
      </c>
      <c r="AW99" s="315" t="n">
        <f aca="false">Model!AV199+SUM(Model!AV203:AV233)+Model!AV235-(Model!AV196)</f>
        <v>-246246.401730933</v>
      </c>
      <c r="AX99" s="315" t="n">
        <f aca="false">Model!AW199+SUM(Model!AW203:AW233)+Model!AW235-(Model!AW196)</f>
        <v>-246246.401730933</v>
      </c>
      <c r="AY99" s="315" t="n">
        <f aca="false">Model!AX199+SUM(Model!AX203:AX233)+Model!AX235-(Model!AX196)</f>
        <v>-246246.401730933</v>
      </c>
      <c r="AZ99" s="315" t="n">
        <f aca="false">Model!AY199+SUM(Model!AY203:AY233)+Model!AY235-(Model!AY196)</f>
        <v>-246246.401730933</v>
      </c>
      <c r="BA99" s="315" t="n">
        <f aca="false">Model!AZ199+SUM(Model!AZ203:AZ233)+Model!AZ235-(Model!AZ196)</f>
        <v>-246246.401730933</v>
      </c>
      <c r="BB99" s="315" t="n">
        <f aca="false">Model!BA199+SUM(Model!BA203:BA233)+Model!BA235-(Model!BA196)</f>
        <v>-254324.522582923</v>
      </c>
      <c r="BC99" s="315" t="n">
        <f aca="false">Model!BB199+SUM(Model!BB203:BB233)+Model!BB235-(Model!BB196)</f>
        <v>-254324.522582923</v>
      </c>
      <c r="BD99" s="315" t="n">
        <f aca="false">Model!BC199+SUM(Model!BC203:BC233)+Model!BC235-(Model!BC196)</f>
        <v>-254324.522582923</v>
      </c>
      <c r="BE99" s="315" t="n">
        <f aca="false">Model!BD199+SUM(Model!BD203:BD233)+Model!BD235-(Model!BD196)</f>
        <v>-254324.522582923</v>
      </c>
      <c r="BF99" s="315" t="n">
        <f aca="false">Model!BE199+SUM(Model!BE203:BE233)+Model!BE235-(Model!BE196)</f>
        <v>-254324.522582923</v>
      </c>
      <c r="BG99" s="315" t="n">
        <f aca="false">Model!BF199+SUM(Model!BF203:BF233)+Model!BF235-(Model!BF196)</f>
        <v>-254324.522582923</v>
      </c>
      <c r="BH99" s="315" t="n">
        <f aca="false">Model!BG199+SUM(Model!BG203:BG233)+Model!BG235-(Model!BG196)</f>
        <v>-254324.522582923</v>
      </c>
      <c r="BI99" s="315" t="n">
        <f aca="false">Model!BH199+SUM(Model!BH203:BH233)+Model!BH235-(Model!BH196)</f>
        <v>-5388.24752732294</v>
      </c>
      <c r="BJ99" s="315" t="n">
        <f aca="false">Model!BI199+SUM(Model!BI203:BI233)+Model!BI235-(Model!BI196)</f>
        <v>-411984.16345147</v>
      </c>
      <c r="BK99" s="315" t="n">
        <f aca="false">Model!BJ199+SUM(Model!BJ203:BJ233)+Model!BJ235-(Model!BJ196)</f>
        <v>-411984.16345147</v>
      </c>
      <c r="BL99" s="315" t="n">
        <f aca="false">Model!BK199+SUM(Model!BK203:BK233)+Model!BK235-(Model!BK196)</f>
        <v>-411984.16345147</v>
      </c>
      <c r="BM99" s="315" t="n">
        <f aca="false">Model!BL199+SUM(Model!BL203:BL233)+Model!BL235-(Model!BL196)</f>
        <v>-411984.16345147</v>
      </c>
      <c r="BN99" s="315" t="n">
        <f aca="false">Model!BM199+SUM(Model!BM203:BM233)+Model!BM235-(Model!BM196)</f>
        <v>-420223.846720499</v>
      </c>
      <c r="BO99" s="315" t="n">
        <f aca="false">Model!BN199+SUM(Model!BN203:BN233)+Model!BN235-(Model!BN196)</f>
        <v>-420223.846720499</v>
      </c>
      <c r="BP99" s="315" t="n">
        <f aca="false">Model!BO199+SUM(Model!BO203:BO233)+Model!BO235-(Model!BO196)</f>
        <v>-420223.846720499</v>
      </c>
      <c r="BQ99" s="315" t="n">
        <f aca="false">Model!BP199+SUM(Model!BP203:BP233)+Model!BP235-(Model!BP196)</f>
        <v>-420223.846720499</v>
      </c>
      <c r="BR99" s="315" t="n">
        <f aca="false">Model!BQ199+SUM(Model!BQ203:BQ233)+Model!BQ235-(Model!BQ196)</f>
        <v>-420223.846720499</v>
      </c>
      <c r="BS99" s="315" t="n">
        <f aca="false">Model!BR199+SUM(Model!BR203:BR233)+Model!BR235-(Model!BR196)</f>
        <v>-420223.846720499</v>
      </c>
      <c r="BT99" s="315" t="n">
        <f aca="false">Model!BS199+SUM(Model!BS203:BS233)+Model!BS235-(Model!BS196)</f>
        <v>-420223.846720499</v>
      </c>
      <c r="BU99" s="315" t="n">
        <f aca="false">Model!BT199+SUM(Model!BT203:BT233)+Model!BT235-(Model!BT196)</f>
        <v>-420223.846720499</v>
      </c>
      <c r="BV99" s="315" t="n">
        <f aca="false">Model!BU199+SUM(Model!BU203:BU233)+Model!BU235-(Model!BU196)</f>
        <v>-420223.846720499</v>
      </c>
      <c r="BW99" s="315" t="n">
        <f aca="false">Model!BV199+SUM(Model!BV203:BV233)+Model!BV235-(Model!BV196)</f>
        <v>-420223.846720499</v>
      </c>
      <c r="BX99" s="315" t="n">
        <f aca="false">Model!BW199+SUM(Model!BW203:BW233)+Model!BW235-(Model!BW196)</f>
        <v>-420223.846720499</v>
      </c>
      <c r="BY99" s="315" t="n">
        <f aca="false">Model!BX199+SUM(Model!BX203:BX233)+Model!BX235-(Model!BX196)</f>
        <v>-420223.846720499</v>
      </c>
      <c r="BZ99" s="315" t="n">
        <f aca="false">Model!BY199+SUM(Model!BY203:BY233)+Model!BY235-(Model!BY196)</f>
        <v>-428628.323654909</v>
      </c>
      <c r="CA99" s="315" t="n">
        <f aca="false">Model!BZ199+SUM(Model!BZ203:BZ233)+Model!BZ235-(Model!BZ196)</f>
        <v>-428628.323654909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1180</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1181</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1183</v>
      </c>
      <c r="C3" s="320" t="s">
        <v>1184</v>
      </c>
      <c r="D3" s="320" t="s">
        <v>1185</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1186</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1187</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1188</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1171</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1189</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1190</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1186</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1187</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1188</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1171</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1189</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1186</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1187</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1188</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1171</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1189</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1191</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1192</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1193</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1194</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1195</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1196</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1197</v>
      </c>
    </row>
    <row r="41" customFormat="false" ht="15" hidden="false" customHeight="true" outlineLevel="0" collapsed="false">
      <c r="A41" s="350" t="s">
        <v>1198</v>
      </c>
    </row>
    <row r="42" customFormat="false" ht="15" hidden="false" customHeight="true" outlineLevel="0" collapsed="false">
      <c r="A42" s="350" t="s">
        <v>1199</v>
      </c>
    </row>
    <row r="43" customFormat="false" ht="15" hidden="false" customHeight="true" outlineLevel="0" collapsed="false">
      <c r="A43" s="350" t="s">
        <v>1200</v>
      </c>
    </row>
    <row r="44" customFormat="false" ht="15" hidden="false" customHeight="true" outlineLevel="0" collapsed="false">
      <c r="A44" s="350" t="s">
        <v>1201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1202</v>
      </c>
    </row>
    <row r="2" customFormat="false" ht="15" hidden="false" customHeight="true" outlineLevel="0" collapsed="false">
      <c r="A2" s="90" t="s">
        <v>1203</v>
      </c>
      <c r="B2" s="351" t="n">
        <v>0.0025</v>
      </c>
    </row>
    <row r="3" customFormat="false" ht="15" hidden="false" customHeight="true" outlineLevel="0" collapsed="false">
      <c r="A3" s="90" t="s">
        <v>1204</v>
      </c>
      <c r="B3" s="352" t="n">
        <v>0.1</v>
      </c>
    </row>
    <row r="4" customFormat="false" ht="15" hidden="false" customHeight="true" outlineLevel="0" collapsed="false"/>
    <row r="5" customFormat="false" ht="30" hidden="false" customHeight="true" outlineLevel="0" collapsed="false">
      <c r="A5" s="353" t="s">
        <v>1205</v>
      </c>
      <c r="B5" s="353" t="s">
        <v>1206</v>
      </c>
      <c r="C5" s="353" t="s">
        <v>1207</v>
      </c>
      <c r="D5" s="354" t="s">
        <v>1208</v>
      </c>
      <c r="E5" s="354" t="s">
        <v>1209</v>
      </c>
      <c r="F5" s="354" t="s">
        <v>1210</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6"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6"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6"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6"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1211</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1212</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1213</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1214</v>
      </c>
      <c r="B20" s="124" t="s">
        <v>905</v>
      </c>
      <c r="C20" s="124" t="s">
        <v>581</v>
      </c>
      <c r="D20" s="124" t="s">
        <v>583</v>
      </c>
      <c r="E20" s="124" t="s">
        <v>556</v>
      </c>
      <c r="F20" s="124" t="s">
        <v>1215</v>
      </c>
      <c r="G20" s="124" t="s">
        <v>582</v>
      </c>
      <c r="H20" s="124" t="s">
        <v>1216</v>
      </c>
      <c r="I20" s="124" t="s">
        <v>1217</v>
      </c>
      <c r="J20" s="124" t="s">
        <v>1218</v>
      </c>
      <c r="K20" s="124" t="s">
        <v>1219</v>
      </c>
      <c r="L20" s="124" t="s">
        <v>1220</v>
      </c>
      <c r="M20" s="124" t="s">
        <v>1221</v>
      </c>
      <c r="N20" s="124" t="s">
        <v>1222</v>
      </c>
      <c r="O20" s="124" t="s">
        <v>1223</v>
      </c>
      <c r="P20" s="124" t="s">
        <v>476</v>
      </c>
      <c r="Q20" s="124" t="s">
        <v>1224</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2"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52"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2"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52"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2"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52"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52"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52"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2"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2"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2"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2"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2"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2"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2"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2"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2"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2"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2"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2"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2"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2"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2"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2"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2"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2"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2"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2"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2"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2"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2"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2"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2"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2"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2"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2"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2"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2"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2"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2"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2"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2"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2"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2"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2"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2"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2"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2"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2"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2"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2"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2"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2"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2"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2"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2"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2"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1225</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1226</v>
      </c>
      <c r="C1" s="357" t="s">
        <v>1227</v>
      </c>
      <c r="D1" s="357" t="s">
        <v>1228</v>
      </c>
      <c r="E1" s="357" t="s">
        <v>1229</v>
      </c>
      <c r="F1" s="357" t="s">
        <v>1230</v>
      </c>
      <c r="G1" s="357" t="s">
        <v>1231</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1232</v>
      </c>
      <c r="B15" s="178" t="n">
        <v>0</v>
      </c>
      <c r="C15" s="359" t="n">
        <f aca="false">IF(Projects!$G$17="Yes",Projects!$B$17*(Assumptions!$B$10+Assumptions!$B$11+Assumptions!$B$12),0)</f>
        <v>1843910.361865</v>
      </c>
      <c r="D15" s="359" t="n">
        <f aca="false">C15*0.05</f>
        <v>92195.51809325</v>
      </c>
      <c r="E15" s="359" t="n">
        <f aca="false">B15+D15</f>
        <v>92195.51809325</v>
      </c>
      <c r="F15" s="360" t="n">
        <f aca="false">Projects!$C$17+Projects!$D$17-1</f>
        <v>32</v>
      </c>
      <c r="G15" s="361" t="n">
        <f aca="false">EDATE(DATE(2026,4,1),F15-1)</f>
        <v>47058</v>
      </c>
    </row>
    <row r="16" customFormat="false" ht="15" hidden="false" customHeight="true" outlineLevel="0" collapsed="false">
      <c r="A16" s="177" t="s">
        <v>1233</v>
      </c>
      <c r="B16" s="178" t="n">
        <v>0</v>
      </c>
      <c r="C16" s="359" t="n">
        <f aca="false">IF(Projects!$G$18="Yes",Projects!$B$18*(Assumptions!$B$10+Assumptions!$B$11+Assumptions!$B$12),0)</f>
        <v>1362511.297535</v>
      </c>
      <c r="D16" s="359" t="n">
        <f aca="false">C16*0.05</f>
        <v>68125.56487675</v>
      </c>
      <c r="E16" s="359" t="n">
        <f aca="false">B16+D16</f>
        <v>68125.56487675</v>
      </c>
      <c r="F16" s="360" t="n">
        <f aca="false">Projects!$C$18+Projects!$D$18-1</f>
        <v>33</v>
      </c>
      <c r="G16" s="361" t="n">
        <f aca="false">EDATE(DATE(2026,4,1),F16-1)</f>
        <v>47088</v>
      </c>
    </row>
    <row r="17" customFormat="false" ht="15" hidden="false" customHeight="true" outlineLevel="0" collapsed="false">
      <c r="A17" s="177" t="s">
        <v>1234</v>
      </c>
      <c r="B17" s="178" t="n">
        <v>0</v>
      </c>
      <c r="C17" s="359" t="n">
        <f aca="false">IF(Projects!$G$19="Yes",Projects!$B$19*(Assumptions!$B$10+Assumptions!$B$11+Assumptions!$B$12),0)</f>
        <v>2220343.402679</v>
      </c>
      <c r="D17" s="359" t="n">
        <f aca="false">C17*0.05</f>
        <v>111017.17013395</v>
      </c>
      <c r="E17" s="359" t="n">
        <f aca="false">B17+D17</f>
        <v>111017.17013395</v>
      </c>
      <c r="F17" s="360" t="n">
        <f aca="false">Projects!$C$19+Projects!$D$19-1</f>
        <v>34</v>
      </c>
      <c r="G17" s="361" t="n">
        <f aca="false">EDATE(DATE(2026,4,1),F17-1)</f>
        <v>47119</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0</v>
      </c>
      <c r="D20" s="359" t="n">
        <f aca="false">C20*0.05</f>
        <v>0</v>
      </c>
      <c r="E20" s="359" t="n">
        <f aca="false">B20+D20</f>
        <v>0</v>
      </c>
      <c r="F20" s="360" t="n">
        <f aca="false">Projects!$C$22+Projects!$D$22-1</f>
        <v>49</v>
      </c>
      <c r="G20" s="361" t="n">
        <f aca="false">EDATE(DATE(2026,4,1),F20-1)</f>
        <v>47574</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52</v>
      </c>
      <c r="G21" s="361" t="n">
        <f aca="false">EDATE(DATE(2026,4,1),F21-1)</f>
        <v>47665</v>
      </c>
    </row>
    <row r="22" customFormat="false" ht="15" hidden="false" customHeight="true" outlineLevel="0" collapsed="false">
      <c r="A22" s="177" t="s">
        <v>27</v>
      </c>
      <c r="B22" s="178" t="n">
        <v>0</v>
      </c>
      <c r="C22" s="359" t="n">
        <f aca="false">IF(Projects!$G$24="Yes",Projects!$B$24*(Assumptions!$B$10+Assumptions!$B$11+Assumptions!$B$12),0)</f>
        <v>0</v>
      </c>
      <c r="D22" s="359" t="n">
        <f aca="false">C22*0.05</f>
        <v>0</v>
      </c>
      <c r="E22" s="359" t="n">
        <f aca="false">B22+D22</f>
        <v>0</v>
      </c>
      <c r="F22" s="360" t="n">
        <f aca="false">Projects!$C$24+Projects!$D$24-1</f>
        <v>55</v>
      </c>
      <c r="G22" s="361" t="n">
        <f aca="false">EDATE(DATE(2026,4,1),F22-1)</f>
        <v>47757</v>
      </c>
    </row>
    <row r="23" customFormat="false" ht="15" hidden="false" customHeight="true" outlineLevel="0" collapsed="false">
      <c r="A23" s="177" t="s">
        <v>28</v>
      </c>
      <c r="B23" s="178" t="n">
        <v>0</v>
      </c>
      <c r="C23" s="359" t="n">
        <f aca="false">IF(Projects!$G$25="Yes",Projects!$B$25*(Assumptions!$B$10+Assumptions!$B$11+Assumptions!$B$12),0)</f>
        <v>0</v>
      </c>
      <c r="D23" s="359" t="n">
        <f aca="false">C23*0.05</f>
        <v>0</v>
      </c>
      <c r="E23" s="359" t="n">
        <f aca="false">B23+D23</f>
        <v>0</v>
      </c>
      <c r="F23" s="360" t="n">
        <f aca="false">Projects!$C$25+Projects!$D$25-1</f>
        <v>58</v>
      </c>
      <c r="G23" s="361" t="n">
        <f aca="false">EDATE(DATE(2026,4,1),F23-1)</f>
        <v>47849</v>
      </c>
    </row>
    <row r="24" customFormat="false" ht="15" hidden="false" customHeight="true" outlineLevel="0" collapsed="false">
      <c r="A24" s="177" t="s">
        <v>29</v>
      </c>
      <c r="B24" s="178" t="n">
        <v>0</v>
      </c>
      <c r="C24" s="359" t="n">
        <f aca="false">IF(Projects!$G$26="Yes",Projects!$B$26*(Assumptions!$B$10+Assumptions!$B$11+Assumptions!$B$12),0)</f>
        <v>0</v>
      </c>
      <c r="D24" s="359" t="n">
        <f aca="false">C24*0.05</f>
        <v>0</v>
      </c>
      <c r="E24" s="359" t="n">
        <f aca="false">B24+D24</f>
        <v>0</v>
      </c>
      <c r="F24" s="360" t="n">
        <f aca="false">Projects!$C$26+Projects!$D$26-1</f>
        <v>60</v>
      </c>
      <c r="G24" s="361" t="n">
        <f aca="false">EDATE(DATE(2026,4,1),F24-1)</f>
        <v>47908</v>
      </c>
    </row>
    <row r="25" customFormat="false" ht="15" hidden="false" customHeight="true" outlineLevel="0" collapsed="false">
      <c r="A25" s="177" t="s">
        <v>30</v>
      </c>
      <c r="B25" s="178" t="n">
        <v>0</v>
      </c>
      <c r="C25" s="359" t="n">
        <f aca="false">IF(Projects!$G$27="Yes",Projects!$B$27*(Assumptions!$B$10+Assumptions!$B$11+Assumptions!$B$12),0)</f>
        <v>0</v>
      </c>
      <c r="D25" s="359" t="n">
        <f aca="false">C25*0.05</f>
        <v>0</v>
      </c>
      <c r="E25" s="359" t="n">
        <f aca="false">B25+D25</f>
        <v>0</v>
      </c>
      <c r="F25" s="360" t="n">
        <f aca="false">Projects!$C$27+Projects!$D$27-1</f>
        <v>62</v>
      </c>
      <c r="G25" s="361" t="n">
        <f aca="false">EDATE(DATE(2026,4,1),F25-1)</f>
        <v>47969</v>
      </c>
    </row>
    <row r="26" customFormat="false" ht="15" hidden="false" customHeight="true" outlineLevel="0" collapsed="false">
      <c r="A26" s="177" t="s">
        <v>31</v>
      </c>
      <c r="B26" s="178" t="n">
        <v>0</v>
      </c>
      <c r="C26" s="359" t="n">
        <f aca="false">IF(Projects!$G$28="Yes",Projects!$B$28*(Assumptions!$B$10+Assumptions!$B$11+Assumptions!$B$12),0)</f>
        <v>0</v>
      </c>
      <c r="D26" s="359" t="n">
        <f aca="false">C26*0.05</f>
        <v>0</v>
      </c>
      <c r="E26" s="359" t="n">
        <f aca="false">B26+D26</f>
        <v>0</v>
      </c>
      <c r="F26" s="360" t="n">
        <f aca="false">Projects!$C$28+Projects!$D$28-1</f>
        <v>64</v>
      </c>
      <c r="G26" s="361" t="n">
        <f aca="false">EDATE(DATE(2026,4,1),F26-1)</f>
        <v>48030</v>
      </c>
    </row>
    <row r="27" customFormat="false" ht="15" hidden="false" customHeight="true" outlineLevel="0" collapsed="false">
      <c r="A27" s="177" t="s">
        <v>32</v>
      </c>
      <c r="B27" s="178" t="n">
        <v>0</v>
      </c>
      <c r="C27" s="359" t="n">
        <f aca="false">IF(Projects!$G$29="Yes",Projects!$B$29*(Assumptions!$B$10+Assumptions!$B$11+Assumptions!$B$12),0)</f>
        <v>0</v>
      </c>
      <c r="D27" s="359" t="n">
        <f aca="false">C27*0.05</f>
        <v>0</v>
      </c>
      <c r="E27" s="359" t="n">
        <f aca="false">B27+D27</f>
        <v>0</v>
      </c>
      <c r="F27" s="360" t="n">
        <f aca="false">Projects!$C$29+Projects!$D$29-1</f>
        <v>66</v>
      </c>
      <c r="G27" s="361" t="n">
        <f aca="false">EDATE(DATE(2026,4,1),F27-1)</f>
        <v>48092</v>
      </c>
    </row>
    <row r="28" customFormat="false" ht="15" hidden="false" customHeight="true" outlineLevel="0" collapsed="false">
      <c r="A28" s="177" t="s">
        <v>33</v>
      </c>
      <c r="B28" s="178" t="n">
        <v>0</v>
      </c>
      <c r="C28" s="359" t="n">
        <f aca="false">IF(Projects!$G$30="Yes",Projects!$B$30*(Assumptions!$B$10+Assumptions!$B$11+Assumptions!$B$12),0)</f>
        <v>0</v>
      </c>
      <c r="D28" s="359" t="n">
        <f aca="false">C28*0.05</f>
        <v>0</v>
      </c>
      <c r="E28" s="359" t="n">
        <f aca="false">B28+D28</f>
        <v>0</v>
      </c>
      <c r="F28" s="360" t="n">
        <f aca="false">Projects!$C$30+Projects!$D$30-1</f>
        <v>68</v>
      </c>
      <c r="G28" s="361" t="n">
        <f aca="false">EDATE(DATE(2026,4,1),F28-1)</f>
        <v>48153</v>
      </c>
    </row>
    <row r="29" customFormat="false" ht="15" hidden="false" customHeight="true" outlineLevel="0" collapsed="false">
      <c r="A29" s="177" t="s">
        <v>34</v>
      </c>
      <c r="B29" s="178" t="n">
        <v>0</v>
      </c>
      <c r="C29" s="359" t="n">
        <f aca="false">IF(Projects!$G$31="Yes",Projects!$B$31*(Assumptions!$B$10+Assumptions!$B$11+Assumptions!$B$12),0)</f>
        <v>0</v>
      </c>
      <c r="D29" s="359" t="n">
        <f aca="false">C29*0.05</f>
        <v>0</v>
      </c>
      <c r="E29" s="359" t="n">
        <f aca="false">B29+D29</f>
        <v>0</v>
      </c>
      <c r="F29" s="360" t="n">
        <f aca="false">Projects!$C$31+Projects!$D$31-1</f>
        <v>70</v>
      </c>
      <c r="G29" s="361" t="n">
        <f aca="false">EDATE(DATE(2026,4,1),F29-1)</f>
        <v>48214</v>
      </c>
    </row>
    <row r="30" customFormat="false" ht="15" hidden="false" customHeight="true" outlineLevel="0" collapsed="false">
      <c r="A30" s="177" t="s">
        <v>35</v>
      </c>
      <c r="B30" s="178" t="n">
        <v>0</v>
      </c>
      <c r="C30" s="359" t="n">
        <f aca="false">IF(Projects!$G$32="Yes",Projects!$B$32*(Assumptions!$B$10+Assumptions!$B$11+Assumptions!$B$12),0)</f>
        <v>0</v>
      </c>
      <c r="D30" s="359" t="n">
        <f aca="false">C30*0.05</f>
        <v>0</v>
      </c>
      <c r="E30" s="359" t="n">
        <f aca="false">B30+D30</f>
        <v>0</v>
      </c>
      <c r="F30" s="360" t="n">
        <f aca="false">Projects!$C$32+Projects!$D$32-1</f>
        <v>72</v>
      </c>
      <c r="G30" s="361" t="n">
        <f aca="false">EDATE(DATE(2026,4,1),F30-1)</f>
        <v>48274</v>
      </c>
    </row>
    <row r="31" customFormat="false" ht="15" hidden="false" customHeight="true" outlineLevel="0" collapsed="false">
      <c r="A31" s="177" t="s">
        <v>36</v>
      </c>
      <c r="B31" s="178" t="n">
        <v>0</v>
      </c>
      <c r="C31" s="359" t="n">
        <f aca="false">IF(Projects!$G$33="Yes",Projects!$B$33*(Assumptions!$B$10+Assumptions!$B$11+Assumptions!$B$12),0)</f>
        <v>0</v>
      </c>
      <c r="D31" s="359" t="n">
        <f aca="false">C31*0.05</f>
        <v>0</v>
      </c>
      <c r="E31" s="359" t="n">
        <f aca="false">B31+D31</f>
        <v>0</v>
      </c>
      <c r="F31" s="360" t="n">
        <f aca="false">Projects!$C$33+Projects!$D$33-1</f>
        <v>74</v>
      </c>
      <c r="G31" s="361" t="n">
        <f aca="false">EDATE(DATE(2026,4,1),F31-1)</f>
        <v>48335</v>
      </c>
    </row>
    <row r="32" customFormat="false" ht="15" hidden="false" customHeight="true" outlineLevel="0" collapsed="false">
      <c r="A32" s="177" t="s">
        <v>37</v>
      </c>
      <c r="B32" s="178" t="n">
        <v>0</v>
      </c>
      <c r="C32" s="359" t="n">
        <f aca="false">IF(Projects!$G$34="Yes",Projects!$B$34*(Assumptions!$B$10+Assumptions!$B$11+Assumptions!$B$12),0)</f>
        <v>0</v>
      </c>
      <c r="D32" s="359" t="n">
        <f aca="false">C32*0.05</f>
        <v>0</v>
      </c>
      <c r="E32" s="359" t="n">
        <f aca="false">B32+D32</f>
        <v>0</v>
      </c>
      <c r="F32" s="360" t="n">
        <f aca="false">Projects!$C$34+Projects!$D$34-1</f>
        <v>76</v>
      </c>
      <c r="G32" s="361" t="n">
        <f aca="false">EDATE(DATE(2026,4,1),F32-1)</f>
        <v>48396</v>
      </c>
    </row>
    <row r="33" customFormat="false" ht="15" hidden="false" customHeight="true" outlineLevel="0" collapsed="false">
      <c r="A33" s="177" t="s">
        <v>38</v>
      </c>
      <c r="B33" s="178" t="n">
        <v>0</v>
      </c>
      <c r="C33" s="359" t="n">
        <f aca="false">IF(Projects!$G$35="Yes",Projects!$B$35*(Assumptions!$B$10+Assumptions!$B$11+Assumptions!$B$12),0)</f>
        <v>0</v>
      </c>
      <c r="D33" s="359" t="n">
        <f aca="false">C33*0.05</f>
        <v>0</v>
      </c>
      <c r="E33" s="359" t="n">
        <f aca="false">B33+D33</f>
        <v>0</v>
      </c>
      <c r="F33" s="360" t="n">
        <f aca="false">Projects!$C$35+Projects!$D$35-1</f>
        <v>78</v>
      </c>
      <c r="G33" s="361" t="n">
        <f aca="false">EDATE(DATE(2026,4,1),F33-1)</f>
        <v>48458</v>
      </c>
    </row>
    <row r="34" customFormat="false" ht="15" hidden="false" customHeight="true" outlineLevel="0" collapsed="false">
      <c r="A34" s="177" t="s">
        <v>39</v>
      </c>
      <c r="B34" s="178" t="n">
        <v>0</v>
      </c>
      <c r="C34" s="359" t="n">
        <f aca="false">IF(Projects!$G$36="Yes",Projects!$B$36*(Assumptions!$B$10+Assumptions!$B$11+Assumptions!$B$12),0)</f>
        <v>0</v>
      </c>
      <c r="D34" s="359" t="n">
        <f aca="false">C34*0.05</f>
        <v>0</v>
      </c>
      <c r="E34" s="359" t="n">
        <f aca="false">B34+D34</f>
        <v>0</v>
      </c>
      <c r="F34" s="360" t="n">
        <f aca="false">Projects!$C$36+Projects!$D$36-1</f>
        <v>80</v>
      </c>
      <c r="G34" s="361" t="n">
        <f aca="false">EDATE(DATE(2026,4,1),F34-1)</f>
        <v>48519</v>
      </c>
    </row>
    <row r="35" customFormat="false" ht="15" hidden="false" customHeight="true" outlineLevel="0" collapsed="false">
      <c r="A35" s="177" t="s">
        <v>40</v>
      </c>
      <c r="B35" s="178" t="n">
        <v>0</v>
      </c>
      <c r="C35" s="359" t="n">
        <f aca="false">IF(Projects!$G$37="Yes",Projects!$B$37*(Assumptions!$B$10+Assumptions!$B$11+Assumptions!$B$12),0)</f>
        <v>0</v>
      </c>
      <c r="D35" s="359" t="n">
        <f aca="false">C35*0.05</f>
        <v>0</v>
      </c>
      <c r="E35" s="359" t="n">
        <f aca="false">B35+D35</f>
        <v>0</v>
      </c>
      <c r="F35" s="360" t="n">
        <f aca="false">Projects!$C$37+Projects!$D$37-1</f>
        <v>82</v>
      </c>
      <c r="G35" s="361" t="n">
        <f aca="false">EDATE(DATE(2026,4,1),F35-1)</f>
        <v>48580</v>
      </c>
    </row>
    <row r="36" customFormat="false" ht="15" hidden="false" customHeight="true" outlineLevel="0" collapsed="false">
      <c r="A36" s="177" t="s">
        <v>41</v>
      </c>
      <c r="B36" s="178" t="n">
        <v>0</v>
      </c>
      <c r="C36" s="359" t="n">
        <f aca="false">IF(Projects!$G$38="Yes",Projects!$B$38*(Assumptions!$B$10+Assumptions!$B$11+Assumptions!$B$12),0)</f>
        <v>0</v>
      </c>
      <c r="D36" s="359" t="n">
        <f aca="false">C36*0.05</f>
        <v>0</v>
      </c>
      <c r="E36" s="359" t="n">
        <f aca="false">B36+D36</f>
        <v>0</v>
      </c>
      <c r="F36" s="360" t="n">
        <f aca="false">Projects!$C$38+Projects!$D$38-1</f>
        <v>84</v>
      </c>
      <c r="G36" s="361" t="n">
        <f aca="false">EDATE(DATE(2026,4,1),F36-1)</f>
        <v>48639</v>
      </c>
    </row>
    <row r="37" customFormat="false" ht="15" hidden="false" customHeight="true" outlineLevel="0" collapsed="false">
      <c r="A37" s="177" t="s">
        <v>42</v>
      </c>
      <c r="B37" s="178" t="n">
        <v>0</v>
      </c>
      <c r="C37" s="359" t="n">
        <f aca="false">IF(Projects!$G$39="Yes",Projects!$B$39*(Assumptions!$B$10+Assumptions!$B$11+Assumptions!$B$12),0)</f>
        <v>0</v>
      </c>
      <c r="D37" s="359" t="n">
        <f aca="false">C37*0.05</f>
        <v>0</v>
      </c>
      <c r="E37" s="359" t="n">
        <f aca="false">B37+D37</f>
        <v>0</v>
      </c>
      <c r="F37" s="360" t="n">
        <f aca="false">Projects!$C$39+Projects!$D$39-1</f>
        <v>86</v>
      </c>
      <c r="G37" s="361" t="n">
        <f aca="false">EDATE(DATE(2026,4,1),F37-1)</f>
        <v>48700</v>
      </c>
    </row>
    <row r="38" customFormat="false" ht="15" hidden="false" customHeight="true" outlineLevel="0" collapsed="false">
      <c r="A38" s="177" t="s">
        <v>43</v>
      </c>
      <c r="B38" s="178" t="n">
        <v>0</v>
      </c>
      <c r="C38" s="359" t="n">
        <f aca="false">IF(Projects!$G$40="Yes",Projects!$B$40*(Assumptions!$B$10+Assumptions!$B$11+Assumptions!$B$12),0)</f>
        <v>0</v>
      </c>
      <c r="D38" s="359" t="n">
        <f aca="false">C38*0.05</f>
        <v>0</v>
      </c>
      <c r="E38" s="359" t="n">
        <f aca="false">B38+D38</f>
        <v>0</v>
      </c>
      <c r="F38" s="360" t="n">
        <f aca="false">Projects!$C$40+Projects!$D$40-1</f>
        <v>88</v>
      </c>
      <c r="G38" s="361" t="n">
        <f aca="false">EDATE(DATE(2026,4,1),F38-1)</f>
        <v>48761</v>
      </c>
    </row>
    <row r="39" customFormat="false" ht="15" hidden="false" customHeight="true" outlineLevel="0" collapsed="false">
      <c r="A39" s="177" t="s">
        <v>44</v>
      </c>
      <c r="B39" s="178" t="n">
        <v>0</v>
      </c>
      <c r="C39" s="359" t="n">
        <f aca="false">IF(Projects!$G$41="Yes",Projects!$B$41*(Assumptions!$B$10+Assumptions!$B$11+Assumptions!$B$12),0)</f>
        <v>0</v>
      </c>
      <c r="D39" s="359" t="n">
        <f aca="false">C39*0.05</f>
        <v>0</v>
      </c>
      <c r="E39" s="359" t="n">
        <f aca="false">B39+D39</f>
        <v>0</v>
      </c>
      <c r="F39" s="360" t="n">
        <f aca="false">Projects!$C$41+Projects!$D$41-1</f>
        <v>90</v>
      </c>
      <c r="G39" s="361" t="n">
        <f aca="false">EDATE(DATE(2026,4,1),F39-1)</f>
        <v>48823</v>
      </c>
    </row>
    <row r="40" customFormat="false" ht="15" hidden="false" customHeight="true" outlineLevel="0" collapsed="false">
      <c r="A40" s="177" t="s">
        <v>45</v>
      </c>
      <c r="B40" s="178" t="n">
        <v>0</v>
      </c>
      <c r="C40" s="359" t="n">
        <f aca="false">IF(Projects!$G$42="Yes",Projects!$B$42*(Assumptions!$B$10+Assumptions!$B$11+Assumptions!$B$12),0)</f>
        <v>0</v>
      </c>
      <c r="D40" s="359" t="n">
        <f aca="false">C40*0.05</f>
        <v>0</v>
      </c>
      <c r="E40" s="359" t="n">
        <f aca="false">B40+D40</f>
        <v>0</v>
      </c>
      <c r="F40" s="360" t="n">
        <f aca="false">Projects!$C$42+Projects!$D$42-1</f>
        <v>92</v>
      </c>
      <c r="G40" s="361" t="n">
        <f aca="false">EDATE(DATE(2026,4,1),F40-1)</f>
        <v>48884</v>
      </c>
    </row>
    <row r="41" customFormat="false" ht="15" hidden="false" customHeight="true" outlineLevel="0" collapsed="false">
      <c r="A41" s="177" t="s">
        <v>46</v>
      </c>
      <c r="B41" s="178" t="n">
        <v>0</v>
      </c>
      <c r="C41" s="359" t="n">
        <f aca="false">IF(Projects!$G$43="Yes",Projects!$B$43*(Assumptions!$B$10+Assumptions!$B$11+Assumptions!$B$12),0)</f>
        <v>0</v>
      </c>
      <c r="D41" s="359" t="n">
        <f aca="false">C41*0.05</f>
        <v>0</v>
      </c>
      <c r="E41" s="359" t="n">
        <f aca="false">B41+D41</f>
        <v>0</v>
      </c>
      <c r="F41" s="360" t="n">
        <f aca="false">Projects!$C$43+Projects!$D$43-1</f>
        <v>94</v>
      </c>
      <c r="G41" s="361" t="n">
        <f aca="false">EDATE(DATE(2026,4,1),F41-1)</f>
        <v>48945</v>
      </c>
    </row>
    <row r="42" customFormat="false" ht="15" hidden="false" customHeight="true" outlineLevel="0" collapsed="false">
      <c r="A42" s="177" t="s">
        <v>47</v>
      </c>
      <c r="B42" s="178" t="n">
        <v>0</v>
      </c>
      <c r="C42" s="359" t="n">
        <f aca="false">IF(Projects!$G$44="Yes",Projects!$B$44*(Assumptions!$B$10+Assumptions!$B$11+Assumptions!$B$12),0)</f>
        <v>0</v>
      </c>
      <c r="D42" s="359" t="n">
        <f aca="false">C42*0.05</f>
        <v>0</v>
      </c>
      <c r="E42" s="359" t="n">
        <f aca="false">B42+D42</f>
        <v>0</v>
      </c>
      <c r="F42" s="360" t="n">
        <f aca="false">Projects!$C$44+Projects!$D$44-1</f>
        <v>96</v>
      </c>
      <c r="G42" s="361" t="n">
        <f aca="false">EDATE(DATE(2026,4,1),F42-1)</f>
        <v>49004</v>
      </c>
    </row>
    <row r="43" customFormat="false" ht="15" hidden="false" customHeight="true" outlineLevel="0" collapsed="false">
      <c r="A43" s="177" t="s">
        <v>48</v>
      </c>
      <c r="B43" s="178" t="n">
        <v>0</v>
      </c>
      <c r="C43" s="359" t="n">
        <f aca="false">IF(Projects!$G$45="Yes",Projects!$B$45*(Assumptions!$B$10+Assumptions!$B$11+Assumptions!$B$12),0)</f>
        <v>0</v>
      </c>
      <c r="D43" s="359" t="n">
        <f aca="false">C43*0.05</f>
        <v>0</v>
      </c>
      <c r="E43" s="359" t="n">
        <f aca="false">B43+D43</f>
        <v>0</v>
      </c>
      <c r="F43" s="360" t="n">
        <f aca="false">Projects!$C$45+Projects!$D$45-1</f>
        <v>98</v>
      </c>
      <c r="G43" s="361" t="n">
        <f aca="false">EDATE(DATE(2026,4,1),F43-1)</f>
        <v>49065</v>
      </c>
    </row>
    <row r="44" customFormat="false" ht="15" hidden="false" customHeight="true" outlineLevel="0" collapsed="false">
      <c r="A44" s="177" t="s">
        <v>49</v>
      </c>
      <c r="B44" s="178" t="n">
        <v>0</v>
      </c>
      <c r="C44" s="359" t="n">
        <f aca="false">IF(Projects!$G$46="Yes",Projects!$B$46*(Assumptions!$B$10+Assumptions!$B$11+Assumptions!$B$12),0)</f>
        <v>0</v>
      </c>
      <c r="D44" s="359" t="n">
        <f aca="false">C44*0.05</f>
        <v>0</v>
      </c>
      <c r="E44" s="359" t="n">
        <f aca="false">B44+D44</f>
        <v>0</v>
      </c>
      <c r="F44" s="360" t="n">
        <f aca="false">Projects!$C$46+Projects!$D$46-1</f>
        <v>100</v>
      </c>
      <c r="G44" s="361"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1235</v>
      </c>
    </row>
    <row r="2" customFormat="false" ht="15" hidden="false" customHeight="true" outlineLevel="0" collapsed="false">
      <c r="A2" s="72" t="s">
        <v>1236</v>
      </c>
    </row>
    <row r="4" customFormat="false" ht="15" hidden="false" customHeight="true" outlineLevel="0" collapsed="false">
      <c r="A4" s="23" t="s">
        <v>1237</v>
      </c>
      <c r="B4" s="23"/>
      <c r="C4" s="23"/>
    </row>
    <row r="5" customFormat="false" ht="15" hidden="false" customHeight="true" outlineLevel="0" collapsed="false">
      <c r="A5" s="177" t="s">
        <v>1238</v>
      </c>
      <c r="B5" s="178" t="n">
        <v>180000</v>
      </c>
      <c r="C5" s="72" t="s">
        <v>1239</v>
      </c>
    </row>
    <row r="6" customFormat="false" ht="15" hidden="false" customHeight="true" outlineLevel="0" collapsed="false">
      <c r="A6" s="177" t="s">
        <v>1240</v>
      </c>
      <c r="B6" s="362" t="n">
        <v>1</v>
      </c>
      <c r="C6" s="72" t="s">
        <v>493</v>
      </c>
    </row>
    <row r="7" customFormat="false" ht="15" hidden="false" customHeight="true" outlineLevel="0" collapsed="false">
      <c r="A7" s="177" t="s">
        <v>1241</v>
      </c>
      <c r="B7" s="362" t="n">
        <v>7</v>
      </c>
      <c r="C7" s="72" t="s">
        <v>1242</v>
      </c>
    </row>
    <row r="8" customFormat="false" ht="15" hidden="false" customHeight="true" outlineLevel="0" collapsed="false">
      <c r="A8" s="177" t="s">
        <v>1243</v>
      </c>
      <c r="B8" s="359" t="n">
        <f aca="false">B5/B7</f>
        <v>25714.2857142857</v>
      </c>
      <c r="C8" s="72" t="s">
        <v>1244</v>
      </c>
    </row>
    <row r="9" customFormat="false" ht="15" hidden="false" customHeight="true" outlineLevel="0" collapsed="false">
      <c r="A9" s="177" t="s">
        <v>1245</v>
      </c>
      <c r="B9" s="178" t="n">
        <v>2500</v>
      </c>
      <c r="C9" s="72" t="s">
        <v>1246</v>
      </c>
    </row>
    <row r="10" customFormat="false" ht="15" hidden="false" customHeight="true" outlineLevel="0" collapsed="false">
      <c r="A10" s="177" t="s">
        <v>1247</v>
      </c>
      <c r="B10" s="362" t="n">
        <v>9</v>
      </c>
      <c r="C10" s="72" t="s">
        <v>1248</v>
      </c>
    </row>
    <row r="11" customFormat="false" ht="15" hidden="false" customHeight="true" outlineLevel="0" collapsed="false">
      <c r="A11" s="177" t="s">
        <v>1249</v>
      </c>
      <c r="B11" s="362" t="n">
        <v>30</v>
      </c>
      <c r="C11" s="72" t="s">
        <v>1250</v>
      </c>
    </row>
    <row r="12" customFormat="false" ht="15" hidden="false" customHeight="true" outlineLevel="0" collapsed="false">
      <c r="A12" s="177" t="s">
        <v>1251</v>
      </c>
      <c r="B12" s="178" t="n">
        <v>2694</v>
      </c>
      <c r="C12" s="72" t="s">
        <v>1252</v>
      </c>
    </row>
    <row r="13" customFormat="false" ht="15" hidden="false" customHeight="true" outlineLevel="0" collapsed="false">
      <c r="A13" s="177" t="s">
        <v>1253</v>
      </c>
      <c r="B13" s="362" t="n">
        <v>2</v>
      </c>
      <c r="C13" s="72" t="s">
        <v>494</v>
      </c>
    </row>
    <row r="14" customFormat="false" ht="15" hidden="false" customHeight="true" outlineLevel="0" collapsed="false">
      <c r="A14" s="177" t="s">
        <v>1254</v>
      </c>
      <c r="B14" s="362" t="n">
        <v>15</v>
      </c>
      <c r="C14" s="72" t="s">
        <v>1255</v>
      </c>
    </row>
    <row r="15" customFormat="false" ht="15" hidden="false" customHeight="true" outlineLevel="0" collapsed="false">
      <c r="A15" s="177" t="s">
        <v>1256</v>
      </c>
      <c r="B15" s="178" t="n">
        <v>2500</v>
      </c>
      <c r="C15" s="72" t="s">
        <v>1257</v>
      </c>
    </row>
    <row r="16" customFormat="false" ht="15" hidden="false" customHeight="true" outlineLevel="0" collapsed="false">
      <c r="A16" s="177" t="s">
        <v>1258</v>
      </c>
      <c r="B16" s="362" t="n">
        <v>2</v>
      </c>
      <c r="C16" s="72" t="s">
        <v>494</v>
      </c>
    </row>
    <row r="17" customFormat="false" ht="15" hidden="false" customHeight="true" outlineLevel="0" collapsed="false">
      <c r="A17" s="177" t="s">
        <v>1259</v>
      </c>
      <c r="B17" s="362" t="n">
        <v>30</v>
      </c>
      <c r="C17" s="72" t="s">
        <v>1260</v>
      </c>
    </row>
    <row r="18" customFormat="false" ht="15" hidden="false" customHeight="true" outlineLevel="0" collapsed="false">
      <c r="A18" s="177" t="s">
        <v>1261</v>
      </c>
      <c r="B18" s="178" t="n">
        <v>7500</v>
      </c>
      <c r="C18" s="72" t="s">
        <v>1262</v>
      </c>
    </row>
    <row r="19" customFormat="false" ht="15" hidden="false" customHeight="true" outlineLevel="0" collapsed="false">
      <c r="A19" s="177" t="s">
        <v>1263</v>
      </c>
      <c r="B19" s="362" t="n">
        <v>2</v>
      </c>
      <c r="C19" s="72" t="s">
        <v>494</v>
      </c>
    </row>
    <row r="20" customFormat="false" ht="15" hidden="false" customHeight="true" outlineLevel="0" collapsed="false">
      <c r="A20" s="177" t="s">
        <v>1264</v>
      </c>
      <c r="B20" s="178" t="n">
        <v>32000</v>
      </c>
      <c r="C20" s="72" t="s">
        <v>1265</v>
      </c>
    </row>
    <row r="21" customFormat="false" ht="15" hidden="false" customHeight="true" outlineLevel="0" collapsed="false">
      <c r="A21" s="177" t="s">
        <v>1266</v>
      </c>
      <c r="B21" s="178" t="n">
        <v>600000</v>
      </c>
      <c r="C21" s="72" t="s">
        <v>1267</v>
      </c>
    </row>
    <row r="22" customFormat="false" ht="15" hidden="false" customHeight="true" outlineLevel="0" collapsed="false">
      <c r="A22" s="177" t="s">
        <v>1268</v>
      </c>
      <c r="B22" s="362" t="n">
        <v>7</v>
      </c>
      <c r="C22" s="72" t="s">
        <v>1269</v>
      </c>
    </row>
    <row r="23" customFormat="false" ht="15" hidden="false" customHeight="true" outlineLevel="0" collapsed="false">
      <c r="A23" s="177" t="s">
        <v>1270</v>
      </c>
      <c r="B23" s="362" t="n">
        <v>12</v>
      </c>
      <c r="C23" s="72" t="s">
        <v>1271</v>
      </c>
    </row>
    <row r="24" customFormat="false" ht="15" hidden="false" customHeight="true" outlineLevel="0" collapsed="false">
      <c r="A24" s="177" t="s">
        <v>1272</v>
      </c>
      <c r="B24" s="359" t="n">
        <f aca="false">B21/B23</f>
        <v>50000</v>
      </c>
      <c r="C24" s="72" t="s">
        <v>1244</v>
      </c>
    </row>
    <row r="25" customFormat="false" ht="15" hidden="false" customHeight="true" outlineLevel="0" collapsed="false">
      <c r="A25" s="177" t="s">
        <v>1273</v>
      </c>
      <c r="B25" s="178" t="n">
        <v>2500</v>
      </c>
      <c r="C25" s="72" t="s">
        <v>1267</v>
      </c>
    </row>
    <row r="26" customFormat="false" ht="15" hidden="false" customHeight="true" outlineLevel="0" collapsed="false">
      <c r="A26" s="177" t="s">
        <v>1274</v>
      </c>
      <c r="B26" s="362" t="n">
        <v>22</v>
      </c>
      <c r="C26" s="72" t="s">
        <v>1275</v>
      </c>
    </row>
    <row r="27" customFormat="false" ht="15" hidden="false" customHeight="true" outlineLevel="0" collapsed="false">
      <c r="A27" s="177" t="s">
        <v>1276</v>
      </c>
      <c r="B27" s="362" t="n">
        <v>30</v>
      </c>
      <c r="C27" s="72" t="s">
        <v>1277</v>
      </c>
    </row>
    <row r="28" customFormat="false" ht="15" hidden="false" customHeight="true" outlineLevel="0" collapsed="false">
      <c r="A28" s="23" t="s">
        <v>1278</v>
      </c>
      <c r="B28" s="23"/>
      <c r="C28" s="23"/>
    </row>
    <row r="29" customFormat="false" ht="15" hidden="false" customHeight="true" outlineLevel="0" collapsed="false">
      <c r="A29" s="177" t="s">
        <v>1279</v>
      </c>
      <c r="B29" s="178" t="n">
        <v>12500</v>
      </c>
      <c r="C29" s="72" t="s">
        <v>1280</v>
      </c>
    </row>
    <row r="30" customFormat="false" ht="15" hidden="false" customHeight="true" outlineLevel="0" collapsed="false">
      <c r="A30" s="177" t="s">
        <v>1281</v>
      </c>
      <c r="B30" s="362" t="n">
        <v>18750</v>
      </c>
      <c r="C30" s="72" t="s">
        <v>1282</v>
      </c>
    </row>
    <row r="31" customFormat="false" ht="15" hidden="false" customHeight="true" outlineLevel="0" collapsed="false">
      <c r="A31" s="177" t="s">
        <v>1283</v>
      </c>
      <c r="B31" s="360" t="n">
        <f aca="false">B22</f>
        <v>7</v>
      </c>
      <c r="C31" s="72" t="s">
        <v>1284</v>
      </c>
    </row>
    <row r="32" customFormat="false" ht="15" hidden="false" customHeight="true" outlineLevel="0" collapsed="false">
      <c r="A32" s="177" t="s">
        <v>1285</v>
      </c>
      <c r="B32" s="178" t="n">
        <v>365</v>
      </c>
      <c r="C32" s="72" t="s">
        <v>1286</v>
      </c>
    </row>
    <row r="33" customFormat="false" ht="15" hidden="false" customHeight="true" outlineLevel="0" collapsed="false">
      <c r="A33" s="177" t="s">
        <v>1287</v>
      </c>
      <c r="B33" s="178" t="n">
        <v>8000</v>
      </c>
      <c r="C33" s="72" t="s">
        <v>1288</v>
      </c>
    </row>
    <row r="34" customFormat="false" ht="15" hidden="false" customHeight="true" outlineLevel="0" collapsed="false">
      <c r="A34" s="177" t="s">
        <v>1289</v>
      </c>
      <c r="B34" s="362" t="n">
        <v>5000</v>
      </c>
      <c r="C34" s="72" t="s">
        <v>1290</v>
      </c>
    </row>
    <row r="35" customFormat="false" ht="15" hidden="false" customHeight="true" outlineLevel="0" collapsed="false">
      <c r="A35" s="177" t="s">
        <v>1291</v>
      </c>
      <c r="B35" s="362" t="n">
        <v>2500</v>
      </c>
      <c r="C35" s="72" t="s">
        <v>1292</v>
      </c>
    </row>
    <row r="36" customFormat="false" ht="15" hidden="false" customHeight="true" outlineLevel="0" collapsed="false">
      <c r="A36" s="177" t="s">
        <v>1293</v>
      </c>
      <c r="B36" s="362" t="n">
        <v>2</v>
      </c>
      <c r="C36" s="72" t="s">
        <v>494</v>
      </c>
    </row>
    <row r="38" customFormat="false" ht="13.5" hidden="false" customHeight="true" outlineLevel="0" collapsed="false">
      <c r="A38" s="23" t="s">
        <v>1294</v>
      </c>
    </row>
    <row r="39" customFormat="false" ht="13.5" hidden="false" customHeight="true" outlineLevel="0" collapsed="false">
      <c r="A39" s="177" t="s">
        <v>1295</v>
      </c>
      <c r="B39" s="363" t="n">
        <v>0.6</v>
      </c>
      <c r="C39" s="72" t="s">
        <v>1296</v>
      </c>
    </row>
    <row r="40" customFormat="false" ht="13.5" hidden="false" customHeight="true" outlineLevel="0" collapsed="false">
      <c r="A40" s="177" t="s">
        <v>1297</v>
      </c>
      <c r="B40" s="178" t="n">
        <v>10</v>
      </c>
      <c r="C40" s="72"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1299</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1300</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1301</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1302</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1303</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1304</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1305</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1306</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1307</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1278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1308</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1309</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1310</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1311</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1312</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1313</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1314</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1315</v>
      </c>
      <c r="B27" s="23"/>
      <c r="C27" s="23"/>
    </row>
    <row r="28" customFormat="false" ht="15" hidden="false" customHeight="true" outlineLevel="0" collapsed="false">
      <c r="A28" s="177" t="s">
        <v>1307</v>
      </c>
      <c r="B28" s="359" t="n">
        <f aca="false">AN14</f>
        <v>1044910</v>
      </c>
    </row>
    <row r="29" customFormat="false" ht="15" hidden="false" customHeight="true" outlineLevel="0" collapsed="false">
      <c r="A29" s="177" t="s">
        <v>1312</v>
      </c>
      <c r="B29" s="359" t="n">
        <f aca="false">AN21</f>
        <v>728370</v>
      </c>
    </row>
    <row r="30" customFormat="false" ht="15" hidden="false" customHeight="true" outlineLevel="0" collapsed="false">
      <c r="A30" s="101" t="s">
        <v>1316</v>
      </c>
      <c r="B30" s="369" t="n">
        <f aca="false">B28-B29</f>
        <v>316540</v>
      </c>
    </row>
    <row r="31" customFormat="false" ht="15" hidden="false" customHeight="true" outlineLevel="0" collapsed="false">
      <c r="A31" s="101" t="s">
        <v>1317</v>
      </c>
      <c r="B31" s="369" t="n">
        <f aca="false">B30*0.5</f>
        <v>158270</v>
      </c>
    </row>
    <row r="32" customFormat="false" ht="15" hidden="false" customHeight="true" outlineLevel="0" collapsed="false">
      <c r="A32" s="177" t="s">
        <v>1318</v>
      </c>
      <c r="B32" s="359" t="n">
        <f aca="false">B30*0.5</f>
        <v>158270</v>
      </c>
    </row>
    <row r="33" customFormat="false" ht="15" hidden="false" customHeight="true" outlineLevel="0" collapsed="false">
      <c r="A33" s="177" t="s">
        <v>1319</v>
      </c>
      <c r="B33" s="359" t="n">
        <f aca="false">AN17+B32</f>
        <v>833270</v>
      </c>
    </row>
    <row r="35" customFormat="false" ht="15" hidden="false" customHeight="true" outlineLevel="0" collapsed="false">
      <c r="A35" s="72" t="s">
        <v>1320</v>
      </c>
    </row>
    <row r="36" customFormat="false" ht="15" hidden="false" customHeight="true" outlineLevel="0" collapsed="false">
      <c r="A36" s="72" t="s">
        <v>1321</v>
      </c>
    </row>
    <row r="37" customFormat="false" ht="15" hidden="false" customHeight="true" outlineLevel="0" collapsed="false">
      <c r="A37" s="72" t="s">
        <v>1322</v>
      </c>
    </row>
    <row r="38" customFormat="false" ht="15" hidden="false" customHeight="true" outlineLevel="0" collapsed="false">
      <c r="A38" s="72" t="s">
        <v>1323</v>
      </c>
    </row>
    <row r="39" customFormat="false" ht="15" hidden="false" customHeight="true" outlineLevel="0" collapsed="false">
      <c r="A39" s="72" t="s">
        <v>1324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1325</v>
      </c>
      <c r="N1" s="1" t="s">
        <v>1326</v>
      </c>
      <c r="O1" s="371" t="n">
        <v>1</v>
      </c>
    </row>
    <row r="2" customFormat="false" ht="13.5" hidden="false" customHeight="true" outlineLevel="0" collapsed="false">
      <c r="A2" s="372" t="s">
        <v>1327</v>
      </c>
      <c r="N2" s="1" t="s">
        <v>1328</v>
      </c>
    </row>
    <row r="3" customFormat="false" ht="57" hidden="false" customHeight="true" outlineLevel="0" collapsed="false">
      <c r="A3" s="176" t="s">
        <v>1329</v>
      </c>
      <c r="B3" s="176" t="s">
        <v>457</v>
      </c>
      <c r="C3" s="176" t="s">
        <v>1330</v>
      </c>
      <c r="D3" s="176" t="s">
        <v>1331</v>
      </c>
      <c r="E3" s="176" t="s">
        <v>1332</v>
      </c>
      <c r="F3" s="176" t="s">
        <v>1333</v>
      </c>
      <c r="G3" s="176" t="s">
        <v>1334</v>
      </c>
      <c r="H3" s="176" t="s">
        <v>617</v>
      </c>
      <c r="I3" s="176" t="s">
        <v>1335</v>
      </c>
      <c r="J3" s="176" t="s">
        <v>1336</v>
      </c>
      <c r="K3" s="176" t="s">
        <v>1337</v>
      </c>
      <c r="L3" s="176" t="s">
        <v>1338</v>
      </c>
    </row>
    <row r="4" customFormat="false" ht="13.5" hidden="false" customHeight="true" outlineLevel="0" collapsed="false">
      <c r="A4" s="217" t="n">
        <v>13</v>
      </c>
      <c r="B4" s="215" t="s">
        <v>7</v>
      </c>
      <c r="C4" s="215" t="s">
        <v>1339</v>
      </c>
      <c r="D4" s="217" t="n">
        <v>0</v>
      </c>
      <c r="E4" s="217" t="n">
        <v>1</v>
      </c>
      <c r="F4" s="373" t="n">
        <v>150000</v>
      </c>
      <c r="G4" s="217" t="n">
        <v>9</v>
      </c>
      <c r="H4" s="215" t="s">
        <v>1340</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1339</v>
      </c>
      <c r="D5" s="375" t="n">
        <v>0</v>
      </c>
      <c r="E5" s="375" t="n">
        <v>1</v>
      </c>
      <c r="F5" s="377" t="n">
        <v>358268</v>
      </c>
      <c r="G5" s="375" t="n">
        <v>19</v>
      </c>
      <c r="H5" s="376" t="s">
        <v>1340</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1341</v>
      </c>
      <c r="D6" s="217" t="n">
        <v>1</v>
      </c>
      <c r="E6" s="217" t="n">
        <v>0</v>
      </c>
      <c r="F6" s="373" t="n">
        <v>0</v>
      </c>
      <c r="G6" s="379" t="n">
        <f aca="false">Retention!$F$4</f>
        <v>17</v>
      </c>
      <c r="H6" s="1" t="s">
        <v>1342</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1341</v>
      </c>
      <c r="D7" s="375" t="n">
        <v>1</v>
      </c>
      <c r="E7" s="375" t="n">
        <v>0</v>
      </c>
      <c r="F7" s="377" t="n">
        <v>0</v>
      </c>
      <c r="G7" s="380" t="n">
        <f aca="false">Retention!$F$5</f>
        <v>19</v>
      </c>
      <c r="H7" s="1" t="s">
        <v>1342</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1339</v>
      </c>
      <c r="D8" s="217" t="n">
        <v>0</v>
      </c>
      <c r="E8" s="217" t="n">
        <v>1</v>
      </c>
      <c r="F8" s="373" t="n">
        <v>0</v>
      </c>
      <c r="G8" s="379" t="n">
        <f aca="false">Retention!$F$6</f>
        <v>15</v>
      </c>
      <c r="H8" s="215" t="s">
        <v>1340</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1341</v>
      </c>
      <c r="D9" s="375" t="n">
        <v>1</v>
      </c>
      <c r="E9" s="375" t="n">
        <v>0</v>
      </c>
      <c r="F9" s="377" t="n">
        <v>0</v>
      </c>
      <c r="G9" s="380" t="n">
        <f aca="false">Retention!$F$7</f>
        <v>36</v>
      </c>
      <c r="H9" s="1" t="s">
        <v>1342</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1341</v>
      </c>
      <c r="D10" s="217" t="n">
        <v>1</v>
      </c>
      <c r="E10" s="217" t="n">
        <v>0</v>
      </c>
      <c r="F10" s="373" t="n">
        <v>0</v>
      </c>
      <c r="G10" s="379" t="n">
        <f aca="false">Retention!$F$8</f>
        <v>24</v>
      </c>
      <c r="H10" s="1" t="s">
        <v>1342</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1341</v>
      </c>
      <c r="D11" s="375" t="n">
        <v>1</v>
      </c>
      <c r="E11" s="375" t="n">
        <v>0</v>
      </c>
      <c r="F11" s="377" t="n">
        <v>0</v>
      </c>
      <c r="G11" s="380" t="n">
        <f aca="false">Retention!$F$9</f>
        <v>23</v>
      </c>
      <c r="H11" s="1" t="s">
        <v>1342</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1341</v>
      </c>
      <c r="D12" s="217" t="n">
        <v>1</v>
      </c>
      <c r="E12" s="217" t="n">
        <v>0</v>
      </c>
      <c r="F12" s="373" t="n">
        <v>0</v>
      </c>
      <c r="G12" s="379" t="n">
        <f aca="false">Retention!$F$10</f>
        <v>32</v>
      </c>
      <c r="H12" s="1" t="s">
        <v>1342</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1339</v>
      </c>
      <c r="D13" s="375" t="n">
        <v>0</v>
      </c>
      <c r="E13" s="375" t="n">
        <v>1</v>
      </c>
      <c r="F13" s="377" t="n">
        <v>0</v>
      </c>
      <c r="G13" s="380" t="n">
        <f aca="false">Retention!$F$11</f>
        <v>29</v>
      </c>
      <c r="H13" s="376" t="s">
        <v>1340</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1339</v>
      </c>
      <c r="D14" s="217" t="n">
        <v>0</v>
      </c>
      <c r="E14" s="217" t="n">
        <v>1</v>
      </c>
      <c r="F14" s="373" t="n">
        <v>0</v>
      </c>
      <c r="G14" s="379" t="n">
        <f aca="false">Retention!$F$12</f>
        <v>28</v>
      </c>
      <c r="H14" s="215" t="s">
        <v>1340</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1341</v>
      </c>
      <c r="D15" s="375" t="n">
        <v>1</v>
      </c>
      <c r="E15" s="375" t="n">
        <v>0</v>
      </c>
      <c r="F15" s="377" t="n">
        <v>0</v>
      </c>
      <c r="G15" s="380" t="n">
        <f aca="false">Retention!$F$13</f>
        <v>42</v>
      </c>
      <c r="H15" s="1" t="s">
        <v>1342</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1341</v>
      </c>
      <c r="D16" s="217" t="n">
        <v>1</v>
      </c>
      <c r="E16" s="217" t="n">
        <v>0</v>
      </c>
      <c r="F16" s="373" t="n">
        <v>0</v>
      </c>
      <c r="G16" s="379" t="n">
        <f aca="false">Retention!$F$14</f>
        <v>56</v>
      </c>
      <c r="H16" s="1" t="s">
        <v>1342</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1341</v>
      </c>
      <c r="D17" s="375" t="n">
        <v>1</v>
      </c>
      <c r="E17" s="375" t="n">
        <v>0</v>
      </c>
      <c r="F17" s="377" t="n">
        <v>0</v>
      </c>
      <c r="G17" s="380" t="n">
        <f aca="false">Retention!$F$15</f>
        <v>32</v>
      </c>
      <c r="H17" s="1" t="s">
        <v>1342</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1341</v>
      </c>
      <c r="D18" s="217" t="n">
        <v>1</v>
      </c>
      <c r="E18" s="217" t="n">
        <v>0</v>
      </c>
      <c r="F18" s="373" t="n">
        <v>0</v>
      </c>
      <c r="G18" s="379" t="n">
        <f aca="false">Retention!$F$16</f>
        <v>33</v>
      </c>
      <c r="H18" s="1" t="s">
        <v>1342</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1341</v>
      </c>
      <c r="D19" s="375" t="n">
        <v>1</v>
      </c>
      <c r="E19" s="375" t="n">
        <v>0</v>
      </c>
      <c r="F19" s="377" t="n">
        <v>0</v>
      </c>
      <c r="G19" s="380" t="n">
        <f aca="false">Retention!$F$17</f>
        <v>34</v>
      </c>
      <c r="H19" s="1" t="s">
        <v>1342</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1339</v>
      </c>
      <c r="D20" s="217" t="n">
        <v>0</v>
      </c>
      <c r="E20" s="217" t="n">
        <v>1</v>
      </c>
      <c r="F20" s="373" t="n">
        <v>0</v>
      </c>
      <c r="G20" s="379" t="n">
        <f aca="false">Retention!$F$18</f>
        <v>43</v>
      </c>
      <c r="H20" s="215" t="s">
        <v>1340</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1339</v>
      </c>
      <c r="D21" s="375" t="n">
        <v>0</v>
      </c>
      <c r="E21" s="375" t="n">
        <v>1</v>
      </c>
      <c r="F21" s="377" t="n">
        <v>0</v>
      </c>
      <c r="G21" s="380" t="n">
        <f aca="false">Retention!$F$19</f>
        <v>28</v>
      </c>
      <c r="H21" s="376" t="s">
        <v>1340</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1341</v>
      </c>
      <c r="D22" s="217" t="n">
        <v>1</v>
      </c>
      <c r="E22" s="217" t="n">
        <v>0</v>
      </c>
      <c r="F22" s="373" t="n">
        <v>0</v>
      </c>
      <c r="G22" s="379" t="n">
        <f aca="false">Retention!$F$20</f>
        <v>49</v>
      </c>
      <c r="H22" s="215" t="s">
        <v>1342</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1341</v>
      </c>
      <c r="D23" s="375" t="n">
        <v>1</v>
      </c>
      <c r="E23" s="375" t="n">
        <v>0</v>
      </c>
      <c r="F23" s="377" t="n">
        <v>0</v>
      </c>
      <c r="G23" s="380" t="n">
        <f aca="false">Retention!$F$21</f>
        <v>52</v>
      </c>
      <c r="H23" s="376" t="s">
        <v>1342</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1341</v>
      </c>
      <c r="D24" s="217" t="n">
        <v>1</v>
      </c>
      <c r="E24" s="217" t="n">
        <v>0</v>
      </c>
      <c r="F24" s="373" t="n">
        <v>0</v>
      </c>
      <c r="G24" s="379" t="n">
        <f aca="false">Retention!$F$22</f>
        <v>55</v>
      </c>
      <c r="H24" s="215" t="s">
        <v>1342</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1341</v>
      </c>
      <c r="D25" s="375" t="n">
        <v>1</v>
      </c>
      <c r="E25" s="375" t="n">
        <v>0</v>
      </c>
      <c r="F25" s="377" t="n">
        <v>0</v>
      </c>
      <c r="G25" s="380" t="n">
        <f aca="false">Retention!$F$23</f>
        <v>58</v>
      </c>
      <c r="H25" s="376" t="s">
        <v>1342</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1341</v>
      </c>
      <c r="D26" s="217" t="n">
        <v>1</v>
      </c>
      <c r="E26" s="217" t="n">
        <v>0</v>
      </c>
      <c r="F26" s="373" t="n">
        <v>0</v>
      </c>
      <c r="G26" s="379" t="n">
        <f aca="false">Retention!$F$24</f>
        <v>60</v>
      </c>
      <c r="H26" s="215" t="s">
        <v>1342</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1341</v>
      </c>
      <c r="D27" s="375" t="n">
        <v>1</v>
      </c>
      <c r="E27" s="375" t="n">
        <v>0</v>
      </c>
      <c r="F27" s="377" t="n">
        <v>0</v>
      </c>
      <c r="G27" s="380" t="n">
        <f aca="false">Retention!$F$25</f>
        <v>62</v>
      </c>
      <c r="H27" s="376" t="s">
        <v>1342</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1341</v>
      </c>
      <c r="D28" s="217" t="n">
        <v>1</v>
      </c>
      <c r="E28" s="217" t="n">
        <v>0</v>
      </c>
      <c r="F28" s="373" t="n">
        <v>0</v>
      </c>
      <c r="G28" s="379" t="n">
        <f aca="false">Retention!$F$26</f>
        <v>64</v>
      </c>
      <c r="H28" s="215" t="s">
        <v>1342</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1341</v>
      </c>
      <c r="D29" s="375" t="n">
        <v>1</v>
      </c>
      <c r="E29" s="375" t="n">
        <v>0</v>
      </c>
      <c r="F29" s="377" t="n">
        <v>0</v>
      </c>
      <c r="G29" s="380" t="n">
        <f aca="false">Retention!$F$27</f>
        <v>66</v>
      </c>
      <c r="H29" s="376" t="s">
        <v>1342</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1341</v>
      </c>
      <c r="D30" s="217" t="n">
        <v>1</v>
      </c>
      <c r="E30" s="217" t="n">
        <v>0</v>
      </c>
      <c r="F30" s="373" t="n">
        <v>0</v>
      </c>
      <c r="G30" s="379" t="n">
        <f aca="false">Retention!$F$28</f>
        <v>68</v>
      </c>
      <c r="H30" s="215" t="s">
        <v>1342</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1341</v>
      </c>
      <c r="D31" s="375" t="n">
        <v>1</v>
      </c>
      <c r="E31" s="375" t="n">
        <v>0</v>
      </c>
      <c r="F31" s="377" t="n">
        <v>0</v>
      </c>
      <c r="G31" s="380" t="n">
        <f aca="false">Retention!$F$29</f>
        <v>70</v>
      </c>
      <c r="H31" s="376" t="s">
        <v>1342</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1341</v>
      </c>
      <c r="D32" s="217" t="n">
        <v>1</v>
      </c>
      <c r="E32" s="217" t="n">
        <v>0</v>
      </c>
      <c r="F32" s="373" t="n">
        <v>0</v>
      </c>
      <c r="G32" s="379" t="n">
        <f aca="false">Retention!$F$30</f>
        <v>72</v>
      </c>
      <c r="H32" s="215" t="s">
        <v>1342</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1341</v>
      </c>
      <c r="D33" s="375" t="n">
        <v>1</v>
      </c>
      <c r="E33" s="375" t="n">
        <v>0</v>
      </c>
      <c r="F33" s="377" t="n">
        <v>0</v>
      </c>
      <c r="G33" s="380" t="n">
        <f aca="false">Retention!$F$31</f>
        <v>74</v>
      </c>
      <c r="H33" s="376" t="s">
        <v>1342</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1341</v>
      </c>
      <c r="D34" s="217" t="n">
        <v>1</v>
      </c>
      <c r="E34" s="217" t="n">
        <v>0</v>
      </c>
      <c r="F34" s="373" t="n">
        <v>0</v>
      </c>
      <c r="G34" s="379" t="n">
        <f aca="false">Retention!$F$32</f>
        <v>76</v>
      </c>
      <c r="H34" s="215" t="s">
        <v>1342</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1341</v>
      </c>
      <c r="D35" s="375" t="n">
        <v>1</v>
      </c>
      <c r="E35" s="375" t="n">
        <v>0</v>
      </c>
      <c r="F35" s="377" t="n">
        <v>0</v>
      </c>
      <c r="G35" s="380" t="n">
        <f aca="false">Retention!$F$33</f>
        <v>78</v>
      </c>
      <c r="H35" s="376" t="s">
        <v>1342</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1341</v>
      </c>
      <c r="D36" s="217" t="n">
        <v>1</v>
      </c>
      <c r="E36" s="217" t="n">
        <v>0</v>
      </c>
      <c r="F36" s="373" t="n">
        <v>0</v>
      </c>
      <c r="G36" s="379" t="n">
        <f aca="false">Retention!$F$34</f>
        <v>80</v>
      </c>
      <c r="H36" s="215" t="s">
        <v>1342</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1341</v>
      </c>
      <c r="D37" s="375" t="n">
        <v>1</v>
      </c>
      <c r="E37" s="375" t="n">
        <v>0</v>
      </c>
      <c r="F37" s="377" t="n">
        <v>0</v>
      </c>
      <c r="G37" s="380" t="n">
        <f aca="false">Retention!$F$35</f>
        <v>82</v>
      </c>
      <c r="H37" s="376" t="s">
        <v>1342</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1341</v>
      </c>
      <c r="D38" s="217" t="n">
        <v>1</v>
      </c>
      <c r="E38" s="217" t="n">
        <v>0</v>
      </c>
      <c r="F38" s="373" t="n">
        <v>0</v>
      </c>
      <c r="G38" s="379" t="n">
        <f aca="false">Retention!$F$36</f>
        <v>84</v>
      </c>
      <c r="H38" s="215" t="s">
        <v>1342</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1341</v>
      </c>
      <c r="D39" s="375" t="n">
        <v>1</v>
      </c>
      <c r="E39" s="375" t="n">
        <v>0</v>
      </c>
      <c r="F39" s="377" t="n">
        <v>0</v>
      </c>
      <c r="G39" s="380" t="n">
        <f aca="false">Retention!$F$37</f>
        <v>86</v>
      </c>
      <c r="H39" s="376" t="s">
        <v>1342</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1341</v>
      </c>
      <c r="D40" s="217" t="n">
        <v>1</v>
      </c>
      <c r="E40" s="217" t="n">
        <v>0</v>
      </c>
      <c r="F40" s="373" t="n">
        <v>0</v>
      </c>
      <c r="G40" s="379" t="n">
        <f aca="false">Retention!$F$38</f>
        <v>88</v>
      </c>
      <c r="H40" s="215" t="s">
        <v>1342</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1341</v>
      </c>
      <c r="D41" s="375" t="n">
        <v>1</v>
      </c>
      <c r="E41" s="375" t="n">
        <v>0</v>
      </c>
      <c r="F41" s="377" t="n">
        <v>0</v>
      </c>
      <c r="G41" s="380" t="n">
        <f aca="false">Retention!$F$39</f>
        <v>90</v>
      </c>
      <c r="H41" s="376" t="s">
        <v>1342</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1341</v>
      </c>
      <c r="D42" s="217" t="n">
        <v>1</v>
      </c>
      <c r="E42" s="217" t="n">
        <v>0</v>
      </c>
      <c r="F42" s="373" t="n">
        <v>0</v>
      </c>
      <c r="G42" s="379" t="n">
        <f aca="false">Retention!$F$40</f>
        <v>92</v>
      </c>
      <c r="H42" s="215" t="s">
        <v>1342</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1341</v>
      </c>
      <c r="D43" s="375" t="n">
        <v>1</v>
      </c>
      <c r="E43" s="375" t="n">
        <v>0</v>
      </c>
      <c r="F43" s="377" t="n">
        <v>0</v>
      </c>
      <c r="G43" s="380" t="n">
        <f aca="false">Retention!$F$41</f>
        <v>94</v>
      </c>
      <c r="H43" s="376" t="s">
        <v>1342</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1341</v>
      </c>
      <c r="D44" s="217" t="n">
        <v>1</v>
      </c>
      <c r="E44" s="217" t="n">
        <v>0</v>
      </c>
      <c r="F44" s="373" t="n">
        <v>0</v>
      </c>
      <c r="G44" s="379" t="n">
        <f aca="false">Retention!$F$42</f>
        <v>96</v>
      </c>
      <c r="H44" s="215" t="s">
        <v>1342</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1341</v>
      </c>
      <c r="D45" s="375" t="n">
        <v>1</v>
      </c>
      <c r="E45" s="375" t="n">
        <v>0</v>
      </c>
      <c r="F45" s="377" t="n">
        <v>0</v>
      </c>
      <c r="G45" s="380" t="n">
        <f aca="false">Retention!$F$43</f>
        <v>98</v>
      </c>
      <c r="H45" s="376" t="s">
        <v>1342</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1341</v>
      </c>
      <c r="D46" s="217" t="n">
        <v>1</v>
      </c>
      <c r="E46" s="217" t="n">
        <v>0</v>
      </c>
      <c r="F46" s="373" t="n">
        <v>0</v>
      </c>
      <c r="G46" s="379" t="n">
        <f aca="false">Retention!$F$44</f>
        <v>100</v>
      </c>
      <c r="H46" s="215" t="s">
        <v>1342</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1343</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1344</v>
      </c>
    </row>
    <row r="59" customFormat="false" ht="13.5" hidden="false" customHeight="true" outlineLevel="0" collapsed="false">
      <c r="A59" s="1" t="s">
        <v>1345</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1346</v>
      </c>
    </row>
    <row r="2" customFormat="false" ht="13.5" hidden="false" customHeight="true" outlineLevel="0" collapsed="false">
      <c r="A2" s="207" t="s">
        <v>1347</v>
      </c>
    </row>
    <row r="4" customFormat="false" ht="13.5" hidden="false" customHeight="true" outlineLevel="0" collapsed="false">
      <c r="A4" s="211" t="s">
        <v>1348</v>
      </c>
      <c r="B4" s="212"/>
      <c r="C4" s="212"/>
      <c r="D4" s="212"/>
      <c r="E4" s="212"/>
      <c r="F4" s="212"/>
    </row>
    <row r="5" customFormat="false" ht="13.5" hidden="false" customHeight="true" outlineLevel="0" collapsed="false">
      <c r="A5" s="110" t="s">
        <v>1349</v>
      </c>
      <c r="B5" s="382" t="n">
        <v>0.875</v>
      </c>
    </row>
    <row r="6" customFormat="false" ht="13.5" hidden="false" customHeight="true" outlineLevel="0" collapsed="false">
      <c r="A6" s="110" t="s">
        <v>1350</v>
      </c>
      <c r="B6" s="382" t="n">
        <v>0.5</v>
      </c>
    </row>
    <row r="7" customFormat="false" ht="13.5" hidden="false" customHeight="true" outlineLevel="0" collapsed="false">
      <c r="A7" s="110" t="s">
        <v>1351</v>
      </c>
      <c r="B7" s="382" t="n">
        <v>0.25</v>
      </c>
    </row>
    <row r="8" customFormat="false" ht="13.5" hidden="false" customHeight="true" outlineLevel="0" collapsed="false">
      <c r="A8" s="110" t="s">
        <v>1352</v>
      </c>
      <c r="B8" s="382" t="n">
        <v>0.165</v>
      </c>
    </row>
    <row r="9" customFormat="false" ht="13.5" hidden="false" customHeight="true" outlineLevel="0" collapsed="false">
      <c r="A9" s="110" t="s">
        <v>1353</v>
      </c>
      <c r="B9" s="382" t="n">
        <v>0.5</v>
      </c>
    </row>
    <row r="10" customFormat="false" ht="13.5" hidden="false" customHeight="true" outlineLevel="0" collapsed="false">
      <c r="A10" s="110" t="s">
        <v>1354</v>
      </c>
      <c r="B10" s="382" t="n">
        <v>0.2</v>
      </c>
    </row>
    <row r="11" customFormat="false" ht="13.5" hidden="false" customHeight="true" outlineLevel="0" collapsed="false">
      <c r="A11" s="110" t="s">
        <v>1355</v>
      </c>
      <c r="B11" s="382" t="n">
        <v>0.5</v>
      </c>
    </row>
    <row r="12" customFormat="false" ht="13.5" hidden="false" customHeight="true" outlineLevel="0" collapsed="false">
      <c r="A12" s="110" t="s">
        <v>1356</v>
      </c>
      <c r="B12" s="383" t="n">
        <v>25000000</v>
      </c>
    </row>
    <row r="13" customFormat="false" ht="13.5" hidden="false" customHeight="true" outlineLevel="0" collapsed="false">
      <c r="A13" s="110" t="s">
        <v>1357</v>
      </c>
      <c r="B13" s="383" t="n">
        <v>10000000</v>
      </c>
    </row>
    <row r="14" customFormat="false" ht="13.5" hidden="false" customHeight="true" outlineLevel="0" collapsed="false">
      <c r="A14" s="110" t="s">
        <v>1358</v>
      </c>
      <c r="B14" s="382" t="n">
        <v>0</v>
      </c>
      <c r="C14" s="210" t="s">
        <v>1359</v>
      </c>
    </row>
    <row r="15" customFormat="false" ht="13.5" hidden="false" customHeight="true" outlineLevel="0" collapsed="false">
      <c r="A15" s="110" t="s">
        <v>1360</v>
      </c>
      <c r="B15" s="382" t="n">
        <v>0</v>
      </c>
    </row>
    <row r="16" customFormat="false" ht="13.5" hidden="false" customHeight="true" outlineLevel="0" collapsed="false">
      <c r="A16" s="110" t="s">
        <v>1361</v>
      </c>
      <c r="B16" s="382" t="n">
        <v>0</v>
      </c>
    </row>
    <row r="17" customFormat="false" ht="13.5" hidden="false" customHeight="true" outlineLevel="0" collapsed="false">
      <c r="A17" s="110" t="s">
        <v>1362</v>
      </c>
      <c r="B17" s="382" t="n">
        <v>1</v>
      </c>
    </row>
    <row r="18" customFormat="false" ht="13.5" hidden="false" customHeight="true" outlineLevel="0" collapsed="false">
      <c r="A18" s="110" t="s">
        <v>1363</v>
      </c>
      <c r="B18" s="382" t="n">
        <v>0.25</v>
      </c>
    </row>
    <row r="19" customFormat="false" ht="13.5" hidden="false" customHeight="true" outlineLevel="0" collapsed="false">
      <c r="A19" s="110" t="s">
        <v>1364</v>
      </c>
      <c r="B19" s="382" t="n">
        <v>6</v>
      </c>
      <c r="C19" s="210" t="s">
        <v>1365</v>
      </c>
    </row>
    <row r="20" customFormat="false" ht="13.5" hidden="false" customHeight="true" outlineLevel="0" collapsed="false">
      <c r="A20" s="110" t="s">
        <v>1366</v>
      </c>
      <c r="B20" s="382" t="n">
        <v>4</v>
      </c>
    </row>
    <row r="21" customFormat="false" ht="13.5" hidden="false" customHeight="true" outlineLevel="0" collapsed="false">
      <c r="A21" s="110" t="s">
        <v>1367</v>
      </c>
      <c r="B21" s="384" t="n">
        <v>0.15</v>
      </c>
    </row>
    <row r="22" customFormat="false" ht="13.5" hidden="false" customHeight="true" outlineLevel="0" collapsed="false">
      <c r="A22" s="110" t="s">
        <v>1368</v>
      </c>
      <c r="B22" s="382" t="n">
        <v>11</v>
      </c>
    </row>
    <row r="23" customFormat="false" ht="13.5" hidden="false" customHeight="true" outlineLevel="0" collapsed="false">
      <c r="A23" s="110" t="s">
        <v>1369</v>
      </c>
      <c r="B23" s="382" t="n">
        <v>13</v>
      </c>
    </row>
    <row r="25" customFormat="false" ht="13.5" hidden="false" customHeight="true" outlineLevel="0" collapsed="false">
      <c r="A25" s="211" t="s">
        <v>1370</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1371</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1372</v>
      </c>
      <c r="B30" s="383" t="n">
        <v>80000</v>
      </c>
    </row>
    <row r="32" customFormat="false" ht="13.5" hidden="false" customHeight="true" outlineLevel="0" collapsed="false">
      <c r="A32" s="211" t="s">
        <v>1373</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1374</v>
      </c>
      <c r="B36" s="212"/>
      <c r="C36" s="212"/>
      <c r="D36" s="212"/>
      <c r="E36" s="212"/>
      <c r="F36" s="212"/>
    </row>
    <row r="37" customFormat="false" ht="13.5" hidden="false" customHeight="true" outlineLevel="0" collapsed="false">
      <c r="A37" s="110" t="s">
        <v>1375</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12</v>
      </c>
      <c r="R37" s="386" t="n">
        <f aca="false">SUMPRODUCT((Projects!$G$2:$G$45="Yes")*(14&gt;=Projects!$C$2:$C$45)*(14&lt;=Projects!$W$2:$W$45))</f>
        <v>13</v>
      </c>
      <c r="S37" s="386" t="n">
        <f aca="false">SUMPRODUCT((Projects!$G$2:$G$45="Yes")*(15&gt;=Projects!$C$2:$C$45)*(15&lt;=Projects!$W$2:$W$45))</f>
        <v>14</v>
      </c>
      <c r="T37" s="386" t="n">
        <f aca="false">SUMPRODUCT((Projects!$G$2:$G$45="Yes")*(16&gt;=Projects!$C$2:$C$45)*(16&lt;=Projects!$W$2:$W$45))</f>
        <v>14</v>
      </c>
      <c r="U37" s="386" t="n">
        <f aca="false">SUMPRODUCT((Projects!$G$2:$G$45="Yes")*(17&gt;=Projects!$C$2:$C$45)*(17&lt;=Projects!$W$2:$W$45))</f>
        <v>14</v>
      </c>
      <c r="V37" s="386" t="n">
        <f aca="false">SUMPRODUCT((Projects!$G$2:$G$45="Yes")*(18&gt;=Projects!$C$2:$C$45)*(18&lt;=Projects!$W$2:$W$45))</f>
        <v>13</v>
      </c>
      <c r="W37" s="386" t="n">
        <f aca="false">SUMPRODUCT((Projects!$G$2:$G$45="Yes")*(19&gt;=Projects!$C$2:$C$45)*(19&lt;=Projects!$W$2:$W$45))</f>
        <v>12</v>
      </c>
      <c r="X37" s="386" t="n">
        <f aca="false">SUMPRODUCT((Projects!$G$2:$G$45="Yes")*(20&gt;=Projects!$C$2:$C$45)*(20&lt;=Projects!$W$2:$W$45))</f>
        <v>12</v>
      </c>
      <c r="Y37" s="386" t="n">
        <f aca="false">SUMPRODUCT((Projects!$G$2:$G$45="Yes")*(21&gt;=Projects!$C$2:$C$45)*(21&lt;=Projects!$W$2:$W$45))</f>
        <v>12</v>
      </c>
      <c r="Z37" s="386" t="n">
        <f aca="false">SUMPRODUCT((Projects!$G$2:$G$45="Yes")*(22&gt;=Projects!$C$2:$C$45)*(22&lt;=Projects!$W$2:$W$45))</f>
        <v>12</v>
      </c>
      <c r="AA37" s="386" t="n">
        <f aca="false">SUMPRODUCT((Projects!$G$2:$G$45="Yes")*(23&gt;=Projects!$C$2:$C$45)*(23&lt;=Projects!$W$2:$W$45))</f>
        <v>12</v>
      </c>
      <c r="AB37" s="386" t="n">
        <f aca="false">SUMPRODUCT((Projects!$G$2:$G$45="Yes")*(24&gt;=Projects!$C$2:$C$45)*(24&lt;=Projects!$W$2:$W$45))</f>
        <v>11</v>
      </c>
      <c r="AC37" s="386" t="n">
        <f aca="false">SUMPRODUCT((Projects!$G$2:$G$45="Yes")*(25&gt;=Projects!$C$2:$C$45)*(25&lt;=Projects!$W$2:$W$45))</f>
        <v>10</v>
      </c>
      <c r="AD37" s="386" t="n">
        <f aca="false">SUMPRODUCT((Projects!$G$2:$G$45="Yes")*(26&gt;=Projects!$C$2:$C$45)*(26&lt;=Projects!$W$2:$W$45))</f>
        <v>10</v>
      </c>
      <c r="AE37" s="386" t="n">
        <f aca="false">SUMPRODUCT((Projects!$G$2:$G$45="Yes")*(27&gt;=Projects!$C$2:$C$45)*(27&lt;=Projects!$W$2:$W$45))</f>
        <v>11</v>
      </c>
      <c r="AF37" s="386" t="n">
        <f aca="false">SUMPRODUCT((Projects!$G$2:$G$45="Yes")*(28&gt;=Projects!$C$2:$C$45)*(28&lt;=Projects!$W$2:$W$45))</f>
        <v>11</v>
      </c>
      <c r="AG37" s="386" t="n">
        <f aca="false">SUMPRODUCT((Projects!$G$2:$G$45="Yes")*(29&gt;=Projects!$C$2:$C$45)*(29&lt;=Projects!$W$2:$W$45))</f>
        <v>9</v>
      </c>
      <c r="AH37" s="386" t="n">
        <f aca="false">SUMPRODUCT((Projects!$G$2:$G$45="Yes")*(30&gt;=Projects!$C$2:$C$45)*(30&lt;=Projects!$W$2:$W$45))</f>
        <v>8</v>
      </c>
      <c r="AI37" s="386" t="n">
        <f aca="false">SUMPRODUCT((Projects!$G$2:$G$45="Yes")*(31&gt;=Projects!$C$2:$C$45)*(31&lt;=Projects!$W$2:$W$45))</f>
        <v>8</v>
      </c>
      <c r="AJ37" s="386" t="n">
        <f aca="false">SUMPRODUCT((Projects!$G$2:$G$45="Yes")*(32&gt;=Projects!$C$2:$C$45)*(32&lt;=Projects!$W$2:$W$45))</f>
        <v>8</v>
      </c>
      <c r="AK37" s="386" t="n">
        <f aca="false">SUMPRODUCT((Projects!$G$2:$G$45="Yes")*(33&gt;=Projects!$C$2:$C$45)*(33&lt;=Projects!$W$2:$W$45))</f>
        <v>6</v>
      </c>
      <c r="AL37" s="386" t="n">
        <f aca="false">SUMPRODUCT((Projects!$G$2:$G$45="Yes")*(34&gt;=Projects!$C$2:$C$45)*(34&lt;=Projects!$W$2:$W$45))</f>
        <v>5</v>
      </c>
      <c r="AM37" s="386" t="n">
        <f aca="false">SUMPRODUCT((Projects!$G$2:$G$45="Yes")*(35&gt;=Projects!$C$2:$C$45)*(35&lt;=Projects!$W$2:$W$45))</f>
        <v>4</v>
      </c>
      <c r="AN37" s="386" t="n">
        <f aca="false">SUMPRODUCT((Projects!$G$2:$G$45="Yes")*(36&gt;=Projects!$C$2:$C$45)*(36&lt;=Projects!$W$2:$W$45))</f>
        <v>4</v>
      </c>
      <c r="AO37" s="386" t="n">
        <f aca="false">SUMPRODUCT((Projects!$G$2:$G$45="Yes")*(37&gt;=Projects!$C$2:$C$45)*(37&lt;=Projects!$W$2:$W$45))</f>
        <v>3</v>
      </c>
      <c r="AP37" s="386" t="n">
        <f aca="false">SUMPRODUCT((Projects!$G$2:$G$45="Yes")*(38&gt;=Projects!$C$2:$C$45)*(38&lt;=Projects!$W$2:$W$45))</f>
        <v>3</v>
      </c>
      <c r="AQ37" s="386" t="n">
        <f aca="false">SUMPRODUCT((Projects!$G$2:$G$45="Yes")*(39&gt;=Projects!$C$2:$C$45)*(39&lt;=Projects!$W$2:$W$45))</f>
        <v>3</v>
      </c>
      <c r="AR37" s="386" t="n">
        <f aca="false">SUMPRODUCT((Projects!$G$2:$G$45="Yes")*(40&gt;=Projects!$C$2:$C$45)*(40&lt;=Projects!$W$2:$W$45))</f>
        <v>3</v>
      </c>
      <c r="AS37" s="386" t="n">
        <f aca="false">SUMPRODUCT((Projects!$G$2:$G$45="Yes")*(41&gt;=Projects!$C$2:$C$45)*(41&lt;=Projects!$W$2:$W$45))</f>
        <v>3</v>
      </c>
      <c r="AT37" s="386" t="n">
        <f aca="false">SUMPRODUCT((Projects!$G$2:$G$45="Yes")*(42&gt;=Projects!$C$2:$C$45)*(42&lt;=Projects!$W$2:$W$45))</f>
        <v>3</v>
      </c>
      <c r="AU37" s="386" t="n">
        <f aca="false">SUMPRODUCT((Projects!$G$2:$G$45="Yes")*(43&gt;=Projects!$C$2:$C$45)*(43&lt;=Projects!$W$2:$W$45))</f>
        <v>2</v>
      </c>
      <c r="AV37" s="386" t="n">
        <f aca="false">SUMPRODUCT((Projects!$G$2:$G$45="Yes")*(44&gt;=Projects!$C$2:$C$45)*(44&lt;=Projects!$W$2:$W$45))</f>
        <v>1</v>
      </c>
      <c r="AW37" s="386" t="n">
        <f aca="false">SUMPRODUCT((Projects!$G$2:$G$45="Yes")*(45&gt;=Projects!$C$2:$C$45)*(45&lt;=Projects!$W$2:$W$45))</f>
        <v>1</v>
      </c>
      <c r="AX37" s="386" t="n">
        <f aca="false">SUMPRODUCT((Projects!$G$2:$G$45="Yes")*(46&gt;=Projects!$C$2:$C$45)*(46&lt;=Projects!$W$2:$W$45))</f>
        <v>1</v>
      </c>
      <c r="AY37" s="386" t="n">
        <f aca="false">SUMPRODUCT((Projects!$G$2:$G$45="Yes")*(47&gt;=Projects!$C$2:$C$45)*(47&lt;=Projects!$W$2:$W$45))</f>
        <v>1</v>
      </c>
      <c r="AZ37" s="386" t="n">
        <f aca="false">SUMPRODUCT((Projects!$G$2:$G$45="Yes")*(48&gt;=Projects!$C$2:$C$45)*(48&lt;=Projects!$W$2:$W$45))</f>
        <v>1</v>
      </c>
      <c r="BA37" s="386" t="n">
        <f aca="false">SUMPRODUCT((Projects!$G$2:$G$45="Yes")*(49&gt;=Projects!$C$2:$C$45)*(49&lt;=Projects!$W$2:$W$45))</f>
        <v>1</v>
      </c>
      <c r="BB37" s="386" t="n">
        <f aca="false">SUMPRODUCT((Projects!$G$2:$G$45="Yes")*(50&gt;=Projects!$C$2:$C$45)*(50&lt;=Projects!$W$2:$W$45))</f>
        <v>1</v>
      </c>
      <c r="BC37" s="386" t="n">
        <f aca="false">SUMPRODUCT((Projects!$G$2:$G$45="Yes")*(51&gt;=Projects!$C$2:$C$45)*(51&lt;=Projects!$W$2:$W$45))</f>
        <v>1</v>
      </c>
      <c r="BD37" s="386" t="n">
        <f aca="false">SUMPRODUCT((Projects!$G$2:$G$45="Yes")*(52&gt;=Projects!$C$2:$C$45)*(52&lt;=Projects!$W$2:$W$45))</f>
        <v>1</v>
      </c>
      <c r="BE37" s="386" t="n">
        <f aca="false">SUMPRODUCT((Projects!$G$2:$G$45="Yes")*(53&gt;=Projects!$C$2:$C$45)*(53&lt;=Projects!$W$2:$W$45))</f>
        <v>1</v>
      </c>
      <c r="BF37" s="386" t="n">
        <f aca="false">SUMPRODUCT((Projects!$G$2:$G$45="Yes")*(54&gt;=Projects!$C$2:$C$45)*(54&lt;=Projects!$W$2:$W$45))</f>
        <v>1</v>
      </c>
      <c r="BG37" s="386" t="n">
        <f aca="false">SUMPRODUCT((Projects!$G$2:$G$45="Yes")*(55&gt;=Projects!$C$2:$C$45)*(55&lt;=Projects!$W$2:$W$45))</f>
        <v>1</v>
      </c>
      <c r="BH37" s="386" t="n">
        <f aca="false">SUMPRODUCT((Projects!$G$2:$G$45="Yes")*(56&gt;=Projects!$C$2:$C$45)*(56&lt;=Projects!$W$2:$W$45))</f>
        <v>1</v>
      </c>
      <c r="BI37" s="386" t="n">
        <f aca="false">SUMPRODUCT((Projects!$G$2:$G$45="Yes")*(57&gt;=Projects!$C$2:$C$45)*(57&lt;=Projects!$W$2:$W$45))</f>
        <v>0</v>
      </c>
      <c r="BJ37" s="386" t="n">
        <f aca="false">SUMPRODUCT((Projects!$G$2:$G$45="Yes")*(58&gt;=Projects!$C$2:$C$45)*(58&lt;=Projects!$W$2:$W$45))</f>
        <v>0</v>
      </c>
      <c r="BK37" s="386" t="n">
        <f aca="false">SUMPRODUCT((Projects!$G$2:$G$45="Yes")*(59&gt;=Projects!$C$2:$C$45)*(59&lt;=Projects!$W$2:$W$45))</f>
        <v>0</v>
      </c>
      <c r="BL37" s="386" t="n">
        <f aca="false">SUMPRODUCT((Projects!$G$2:$G$45="Yes")*(60&gt;=Projects!$C$2:$C$45)*(60&lt;=Projects!$W$2:$W$45))</f>
        <v>0</v>
      </c>
      <c r="BM37" s="386" t="n">
        <f aca="false">SUMPRODUCT((Projects!$G$2:$G$45="Yes")*(61&gt;=Projects!$C$2:$C$45)*(61&lt;=Projects!$W$2:$W$45))</f>
        <v>0</v>
      </c>
      <c r="BN37" s="386" t="n">
        <f aca="false">SUMPRODUCT((Projects!$G$2:$G$45="Yes")*(62&gt;=Projects!$C$2:$C$45)*(62&lt;=Projects!$W$2:$W$45))</f>
        <v>0</v>
      </c>
      <c r="BO37" s="386" t="n">
        <f aca="false">SUMPRODUCT((Projects!$G$2:$G$45="Yes")*(63&gt;=Projects!$C$2:$C$45)*(63&lt;=Projects!$W$2:$W$45))</f>
        <v>0</v>
      </c>
      <c r="BP37" s="386" t="n">
        <f aca="false">SUMPRODUCT((Projects!$G$2:$G$45="Yes")*(64&gt;=Projects!$C$2:$C$45)*(64&lt;=Projects!$W$2:$W$45))</f>
        <v>0</v>
      </c>
      <c r="BQ37" s="386" t="n">
        <f aca="false">SUMPRODUCT((Projects!$G$2:$G$45="Yes")*(65&gt;=Projects!$C$2:$C$45)*(65&lt;=Projects!$W$2:$W$45))</f>
        <v>0</v>
      </c>
      <c r="BR37" s="386" t="n">
        <f aca="false">SUMPRODUCT((Projects!$G$2:$G$45="Yes")*(66&gt;=Projects!$C$2:$C$45)*(66&lt;=Projects!$W$2:$W$45))</f>
        <v>0</v>
      </c>
      <c r="BS37" s="386" t="n">
        <f aca="false">SUMPRODUCT((Projects!$G$2:$G$45="Yes")*(67&gt;=Projects!$C$2:$C$45)*(67&lt;=Projects!$W$2:$W$45))</f>
        <v>0</v>
      </c>
      <c r="BT37" s="386" t="n">
        <f aca="false">SUMPRODUCT((Projects!$G$2:$G$45="Yes")*(68&gt;=Projects!$C$2:$C$45)*(68&lt;=Projects!$W$2:$W$45))</f>
        <v>0</v>
      </c>
      <c r="BU37" s="386" t="n">
        <f aca="false">SUMPRODUCT((Projects!$G$2:$G$45="Yes")*(69&gt;=Projects!$C$2:$C$45)*(69&lt;=Projects!$W$2:$W$45))</f>
        <v>0</v>
      </c>
      <c r="BV37" s="386" t="n">
        <f aca="false">SUMPRODUCT((Projects!$G$2:$G$45="Yes")*(70&gt;=Projects!$C$2:$C$45)*(70&lt;=Projects!$W$2:$W$45))</f>
        <v>0</v>
      </c>
      <c r="BW37" s="386" t="n">
        <f aca="false">SUMPRODUCT((Projects!$G$2:$G$45="Yes")*(71&gt;=Projects!$C$2:$C$45)*(71&lt;=Projects!$W$2:$W$45))</f>
        <v>0</v>
      </c>
      <c r="BX37" s="386" t="n">
        <f aca="false">SUMPRODUCT((Projects!$G$2:$G$45="Yes")*(72&gt;=Projects!$C$2:$C$45)*(72&lt;=Projects!$W$2:$W$45))</f>
        <v>0</v>
      </c>
      <c r="BY37" s="386" t="n">
        <f aca="false">SUMPRODUCT((Projects!$G$2:$G$45="Yes")*(73&gt;=Projects!$C$2:$C$45)*(73&lt;=Projects!$W$2:$W$45))</f>
        <v>0</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1376</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10.5</v>
      </c>
      <c r="R38" s="386" t="n">
        <f aca="false">SUMPRODUCT((Projects!$G$2:$G$45="Yes")*(14&gt;=Projects!$C$2:$C$45-$B$14)*(14&lt;=Projects!$W$2:$W$45+$B$17))*$B$5</f>
        <v>11.375</v>
      </c>
      <c r="S38" s="386" t="n">
        <f aca="false">SUMPRODUCT((Projects!$G$2:$G$45="Yes")*(15&gt;=Projects!$C$2:$C$45-$B$14)*(15&lt;=Projects!$W$2:$W$45+$B$17))*$B$5</f>
        <v>12.25</v>
      </c>
      <c r="T38" s="386" t="n">
        <f aca="false">SUMPRODUCT((Projects!$G$2:$G$45="Yes")*(16&gt;=Projects!$C$2:$C$45-$B$14)*(16&lt;=Projects!$W$2:$W$45+$B$17))*$B$5</f>
        <v>13.125</v>
      </c>
      <c r="U38" s="386" t="n">
        <f aca="false">SUMPRODUCT((Projects!$G$2:$G$45="Yes")*(17&gt;=Projects!$C$2:$C$45-$B$14)*(17&lt;=Projects!$W$2:$W$45+$B$17))*$B$5</f>
        <v>12.25</v>
      </c>
      <c r="V38" s="386" t="n">
        <f aca="false">SUMPRODUCT((Projects!$G$2:$G$45="Yes")*(18&gt;=Projects!$C$2:$C$45-$B$14)*(18&lt;=Projects!$W$2:$W$45+$B$17))*$B$5</f>
        <v>12.25</v>
      </c>
      <c r="W38" s="386" t="n">
        <f aca="false">SUMPRODUCT((Projects!$G$2:$G$45="Yes")*(19&gt;=Projects!$C$2:$C$45-$B$14)*(19&lt;=Projects!$W$2:$W$45+$B$17))*$B$5</f>
        <v>11.375</v>
      </c>
      <c r="X38" s="386" t="n">
        <f aca="false">SUMPRODUCT((Projects!$G$2:$G$45="Yes")*(20&gt;=Projects!$C$2:$C$45-$B$14)*(20&lt;=Projects!$W$2:$W$45+$B$17))*$B$5</f>
        <v>11.375</v>
      </c>
      <c r="Y38" s="386" t="n">
        <f aca="false">SUMPRODUCT((Projects!$G$2:$G$45="Yes")*(21&gt;=Projects!$C$2:$C$45-$B$14)*(21&lt;=Projects!$W$2:$W$45+$B$17))*$B$5</f>
        <v>10.5</v>
      </c>
      <c r="Z38" s="386" t="n">
        <f aca="false">SUMPRODUCT((Projects!$G$2:$G$45="Yes")*(22&gt;=Projects!$C$2:$C$45-$B$14)*(22&lt;=Projects!$W$2:$W$45+$B$17))*$B$5</f>
        <v>10.5</v>
      </c>
      <c r="AA38" s="386" t="n">
        <f aca="false">SUMPRODUCT((Projects!$G$2:$G$45="Yes")*(23&gt;=Projects!$C$2:$C$45-$B$14)*(23&lt;=Projects!$W$2:$W$45+$B$17))*$B$5</f>
        <v>10.5</v>
      </c>
      <c r="AB38" s="386" t="n">
        <f aca="false">SUMPRODUCT((Projects!$G$2:$G$45="Yes")*(24&gt;=Projects!$C$2:$C$45-$B$14)*(24&lt;=Projects!$W$2:$W$45+$B$17))*$B$5</f>
        <v>10.5</v>
      </c>
      <c r="AC38" s="386" t="n">
        <f aca="false">SUMPRODUCT((Projects!$G$2:$G$45="Yes")*(25&gt;=Projects!$C$2:$C$45-$B$14)*(25&lt;=Projects!$W$2:$W$45+$B$17))*$B$5</f>
        <v>9.625</v>
      </c>
      <c r="AD38" s="386" t="n">
        <f aca="false">SUMPRODUCT((Projects!$G$2:$G$45="Yes")*(26&gt;=Projects!$C$2:$C$45-$B$14)*(26&lt;=Projects!$W$2:$W$45+$B$17))*$B$5</f>
        <v>8.75</v>
      </c>
      <c r="AE38" s="386" t="n">
        <f aca="false">SUMPRODUCT((Projects!$G$2:$G$45="Yes")*(27&gt;=Projects!$C$2:$C$45-$B$14)*(27&lt;=Projects!$W$2:$W$45+$B$17))*$B$5</f>
        <v>9.625</v>
      </c>
      <c r="AF38" s="386" t="n">
        <f aca="false">SUMPRODUCT((Projects!$G$2:$G$45="Yes")*(28&gt;=Projects!$C$2:$C$45-$B$14)*(28&lt;=Projects!$W$2:$W$45+$B$17))*$B$5</f>
        <v>9.625</v>
      </c>
      <c r="AG38" s="386" t="n">
        <f aca="false">SUMPRODUCT((Projects!$G$2:$G$45="Yes")*(29&gt;=Projects!$C$2:$C$45-$B$14)*(29&lt;=Projects!$W$2:$W$45+$B$17))*$B$5</f>
        <v>9.625</v>
      </c>
      <c r="AH38" s="386" t="n">
        <f aca="false">SUMPRODUCT((Projects!$G$2:$G$45="Yes")*(30&gt;=Projects!$C$2:$C$45-$B$14)*(30&lt;=Projects!$W$2:$W$45+$B$17))*$B$5</f>
        <v>7.875</v>
      </c>
      <c r="AI38" s="386" t="n">
        <f aca="false">SUMPRODUCT((Projects!$G$2:$G$45="Yes")*(31&gt;=Projects!$C$2:$C$45-$B$14)*(31&lt;=Projects!$W$2:$W$45+$B$17))*$B$5</f>
        <v>7</v>
      </c>
      <c r="AJ38" s="386" t="n">
        <f aca="false">SUMPRODUCT((Projects!$G$2:$G$45="Yes")*(32&gt;=Projects!$C$2:$C$45-$B$14)*(32&lt;=Projects!$W$2:$W$45+$B$17))*$B$5</f>
        <v>7</v>
      </c>
      <c r="AK38" s="386" t="n">
        <f aca="false">SUMPRODUCT((Projects!$G$2:$G$45="Yes")*(33&gt;=Projects!$C$2:$C$45-$B$14)*(33&lt;=Projects!$W$2:$W$45+$B$17))*$B$5</f>
        <v>7</v>
      </c>
      <c r="AL38" s="386" t="n">
        <f aca="false">SUMPRODUCT((Projects!$G$2:$G$45="Yes")*(34&gt;=Projects!$C$2:$C$45-$B$14)*(34&lt;=Projects!$W$2:$W$45+$B$17))*$B$5</f>
        <v>5.25</v>
      </c>
      <c r="AM38" s="386" t="n">
        <f aca="false">SUMPRODUCT((Projects!$G$2:$G$45="Yes")*(35&gt;=Projects!$C$2:$C$45-$B$14)*(35&lt;=Projects!$W$2:$W$45+$B$17))*$B$5</f>
        <v>4.375</v>
      </c>
      <c r="AN38" s="386" t="n">
        <f aca="false">SUMPRODUCT((Projects!$G$2:$G$45="Yes")*(36&gt;=Projects!$C$2:$C$45-$B$14)*(36&lt;=Projects!$W$2:$W$45+$B$17))*$B$5</f>
        <v>3.5</v>
      </c>
      <c r="AO38" s="386" t="n">
        <f aca="false">SUMPRODUCT((Projects!$G$2:$G$45="Yes")*(37&gt;=Projects!$C$2:$C$45-$B$14)*(37&lt;=Projects!$W$2:$W$45+$B$17))*$B$5</f>
        <v>3.5</v>
      </c>
      <c r="AP38" s="386" t="n">
        <f aca="false">SUMPRODUCT((Projects!$G$2:$G$45="Yes")*(38&gt;=Projects!$C$2:$C$45-$B$14)*(38&lt;=Projects!$W$2:$W$45+$B$17))*$B$5</f>
        <v>2.625</v>
      </c>
      <c r="AQ38" s="386" t="n">
        <f aca="false">SUMPRODUCT((Projects!$G$2:$G$45="Yes")*(39&gt;=Projects!$C$2:$C$45-$B$14)*(39&lt;=Projects!$W$2:$W$45+$B$17))*$B$5</f>
        <v>2.625</v>
      </c>
      <c r="AR38" s="386" t="n">
        <f aca="false">SUMPRODUCT((Projects!$G$2:$G$45="Yes")*(40&gt;=Projects!$C$2:$C$45-$B$14)*(40&lt;=Projects!$W$2:$W$45+$B$17))*$B$5</f>
        <v>2.625</v>
      </c>
      <c r="AS38" s="386" t="n">
        <f aca="false">SUMPRODUCT((Projects!$G$2:$G$45="Yes")*(41&gt;=Projects!$C$2:$C$45-$B$14)*(41&lt;=Projects!$W$2:$W$45+$B$17))*$B$5</f>
        <v>2.625</v>
      </c>
      <c r="AT38" s="386" t="n">
        <f aca="false">SUMPRODUCT((Projects!$G$2:$G$45="Yes")*(42&gt;=Projects!$C$2:$C$45-$B$14)*(42&lt;=Projects!$W$2:$W$45+$B$17))*$B$5</f>
        <v>2.625</v>
      </c>
      <c r="AU38" s="386" t="n">
        <f aca="false">SUMPRODUCT((Projects!$G$2:$G$45="Yes")*(43&gt;=Projects!$C$2:$C$45-$B$14)*(43&lt;=Projects!$W$2:$W$45+$B$17))*$B$5</f>
        <v>2.625</v>
      </c>
      <c r="AV38" s="386" t="n">
        <f aca="false">SUMPRODUCT((Projects!$G$2:$G$45="Yes")*(44&gt;=Projects!$C$2:$C$45-$B$14)*(44&lt;=Projects!$W$2:$W$45+$B$17))*$B$5</f>
        <v>1.75</v>
      </c>
      <c r="AW38" s="386" t="n">
        <f aca="false">SUMPRODUCT((Projects!$G$2:$G$45="Yes")*(45&gt;=Projects!$C$2:$C$45-$B$14)*(45&lt;=Projects!$W$2:$W$45+$B$17))*$B$5</f>
        <v>0.875</v>
      </c>
      <c r="AX38" s="386" t="n">
        <f aca="false">SUMPRODUCT((Projects!$G$2:$G$45="Yes")*(46&gt;=Projects!$C$2:$C$45-$B$14)*(46&lt;=Projects!$W$2:$W$45+$B$17))*$B$5</f>
        <v>0.875</v>
      </c>
      <c r="AY38" s="386" t="n">
        <f aca="false">SUMPRODUCT((Projects!$G$2:$G$45="Yes")*(47&gt;=Projects!$C$2:$C$45-$B$14)*(47&lt;=Projects!$W$2:$W$45+$B$17))*$B$5</f>
        <v>0.875</v>
      </c>
      <c r="AZ38" s="386" t="n">
        <f aca="false">SUMPRODUCT((Projects!$G$2:$G$45="Yes")*(48&gt;=Projects!$C$2:$C$45-$B$14)*(48&lt;=Projects!$W$2:$W$45+$B$17))*$B$5</f>
        <v>0.875</v>
      </c>
      <c r="BA38" s="386" t="n">
        <f aca="false">SUMPRODUCT((Projects!$G$2:$G$45="Yes")*(49&gt;=Projects!$C$2:$C$45-$B$14)*(49&lt;=Projects!$W$2:$W$45+$B$17))*$B$5</f>
        <v>0.875</v>
      </c>
      <c r="BB38" s="386" t="n">
        <f aca="false">SUMPRODUCT((Projects!$G$2:$G$45="Yes")*(50&gt;=Projects!$C$2:$C$45-$B$14)*(50&lt;=Projects!$W$2:$W$45+$B$17))*$B$5</f>
        <v>0.875</v>
      </c>
      <c r="BC38" s="386" t="n">
        <f aca="false">SUMPRODUCT((Projects!$G$2:$G$45="Yes")*(51&gt;=Projects!$C$2:$C$45-$B$14)*(51&lt;=Projects!$W$2:$W$45+$B$17))*$B$5</f>
        <v>0.875</v>
      </c>
      <c r="BD38" s="386" t="n">
        <f aca="false">SUMPRODUCT((Projects!$G$2:$G$45="Yes")*(52&gt;=Projects!$C$2:$C$45-$B$14)*(52&lt;=Projects!$W$2:$W$45+$B$17))*$B$5</f>
        <v>0.875</v>
      </c>
      <c r="BE38" s="386" t="n">
        <f aca="false">SUMPRODUCT((Projects!$G$2:$G$45="Yes")*(53&gt;=Projects!$C$2:$C$45-$B$14)*(53&lt;=Projects!$W$2:$W$45+$B$17))*$B$5</f>
        <v>0.875</v>
      </c>
      <c r="BF38" s="386" t="n">
        <f aca="false">SUMPRODUCT((Projects!$G$2:$G$45="Yes")*(54&gt;=Projects!$C$2:$C$45-$B$14)*(54&lt;=Projects!$W$2:$W$45+$B$17))*$B$5</f>
        <v>0.875</v>
      </c>
      <c r="BG38" s="386" t="n">
        <f aca="false">SUMPRODUCT((Projects!$G$2:$G$45="Yes")*(55&gt;=Projects!$C$2:$C$45-$B$14)*(55&lt;=Projects!$W$2:$W$45+$B$17))*$B$5</f>
        <v>0.875</v>
      </c>
      <c r="BH38" s="386" t="n">
        <f aca="false">SUMPRODUCT((Projects!$G$2:$G$45="Yes")*(56&gt;=Projects!$C$2:$C$45-$B$14)*(56&lt;=Projects!$W$2:$W$45+$B$17))*$B$5</f>
        <v>0.875</v>
      </c>
      <c r="BI38" s="386" t="n">
        <f aca="false">SUMPRODUCT((Projects!$G$2:$G$45="Yes")*(57&gt;=Projects!$C$2:$C$45-$B$14)*(57&lt;=Projects!$W$2:$W$45+$B$17))*$B$5</f>
        <v>0.875</v>
      </c>
      <c r="BJ38" s="386" t="n">
        <f aca="false">SUMPRODUCT((Projects!$G$2:$G$45="Yes")*(58&gt;=Projects!$C$2:$C$45-$B$14)*(58&lt;=Projects!$W$2:$W$45+$B$17))*$B$5</f>
        <v>0</v>
      </c>
      <c r="BK38" s="386" t="n">
        <f aca="false">SUMPRODUCT((Projects!$G$2:$G$45="Yes")*(59&gt;=Projects!$C$2:$C$45-$B$14)*(59&lt;=Projects!$W$2:$W$45+$B$17))*$B$5</f>
        <v>0</v>
      </c>
      <c r="BL38" s="386" t="n">
        <f aca="false">SUMPRODUCT((Projects!$G$2:$G$45="Yes")*(60&gt;=Projects!$C$2:$C$45-$B$14)*(60&lt;=Projects!$W$2:$W$45+$B$17))*$B$5</f>
        <v>0</v>
      </c>
      <c r="BM38" s="386" t="n">
        <f aca="false">SUMPRODUCT((Projects!$G$2:$G$45="Yes")*(61&gt;=Projects!$C$2:$C$45-$B$14)*(61&lt;=Projects!$W$2:$W$45+$B$17))*$B$5</f>
        <v>0</v>
      </c>
      <c r="BN38" s="386" t="n">
        <f aca="false">SUMPRODUCT((Projects!$G$2:$G$45="Yes")*(62&gt;=Projects!$C$2:$C$45-$B$14)*(62&lt;=Projects!$W$2:$W$45+$B$17))*$B$5</f>
        <v>0</v>
      </c>
      <c r="BO38" s="386" t="n">
        <f aca="false">SUMPRODUCT((Projects!$G$2:$G$45="Yes")*(63&gt;=Projects!$C$2:$C$45-$B$14)*(63&lt;=Projects!$W$2:$W$45+$B$17))*$B$5</f>
        <v>0</v>
      </c>
      <c r="BP38" s="386" t="n">
        <f aca="false">SUMPRODUCT((Projects!$G$2:$G$45="Yes")*(64&gt;=Projects!$C$2:$C$45-$B$14)*(64&lt;=Projects!$W$2:$W$45+$B$17))*$B$5</f>
        <v>0</v>
      </c>
      <c r="BQ38" s="386" t="n">
        <f aca="false">SUMPRODUCT((Projects!$G$2:$G$45="Yes")*(65&gt;=Projects!$C$2:$C$45-$B$14)*(65&lt;=Projects!$W$2:$W$45+$B$17))*$B$5</f>
        <v>0</v>
      </c>
      <c r="BR38" s="386" t="n">
        <f aca="false">SUMPRODUCT((Projects!$G$2:$G$45="Yes")*(66&gt;=Projects!$C$2:$C$45-$B$14)*(66&lt;=Projects!$W$2:$W$45+$B$17))*$B$5</f>
        <v>0</v>
      </c>
      <c r="BS38" s="386" t="n">
        <f aca="false">SUMPRODUCT((Projects!$G$2:$G$45="Yes")*(67&gt;=Projects!$C$2:$C$45-$B$14)*(67&lt;=Projects!$W$2:$W$45+$B$17))*$B$5</f>
        <v>0</v>
      </c>
      <c r="BT38" s="386" t="n">
        <f aca="false">SUMPRODUCT((Projects!$G$2:$G$45="Yes")*(68&gt;=Projects!$C$2:$C$45-$B$14)*(68&lt;=Projects!$W$2:$W$45+$B$17))*$B$5</f>
        <v>0</v>
      </c>
      <c r="BU38" s="386" t="n">
        <f aca="false">SUMPRODUCT((Projects!$G$2:$G$45="Yes")*(69&gt;=Projects!$C$2:$C$45-$B$14)*(69&lt;=Projects!$W$2:$W$45+$B$17))*$B$5</f>
        <v>0</v>
      </c>
      <c r="BV38" s="386" t="n">
        <f aca="false">SUMPRODUCT((Projects!$G$2:$G$45="Yes")*(70&gt;=Projects!$C$2:$C$45-$B$14)*(70&lt;=Projects!$W$2:$W$45+$B$17))*$B$5</f>
        <v>0</v>
      </c>
      <c r="BW38" s="386" t="n">
        <f aca="false">SUMPRODUCT((Projects!$G$2:$G$45="Yes")*(71&gt;=Projects!$C$2:$C$45-$B$14)*(71&lt;=Projects!$W$2:$W$45+$B$17))*$B$5</f>
        <v>0</v>
      </c>
      <c r="BX38" s="386" t="n">
        <f aca="false">SUMPRODUCT((Projects!$G$2:$G$45="Yes")*(72&gt;=Projects!$C$2:$C$45-$B$14)*(72&lt;=Projects!$W$2:$W$45+$B$17))*$B$5</f>
        <v>0</v>
      </c>
      <c r="BY38" s="386" t="n">
        <f aca="false">SUMPRODUCT((Projects!$G$2:$G$45="Yes")*(73&gt;=Projects!$C$2:$C$45-$B$14)*(73&lt;=Projects!$W$2:$W$45+$B$17))*$B$5</f>
        <v>0</v>
      </c>
      <c r="BZ38" s="386" t="n">
        <f aca="false">SUMPRODUCT((Projects!$G$2:$G$45="Yes")*(74&gt;=Projects!$C$2:$C$45-$B$14)*(74&lt;=Projects!$W$2:$W$45+$B$17))*$B$5</f>
        <v>0</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1377</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3.1625</v>
      </c>
      <c r="R39" s="386" t="n">
        <f aca="false">SUMPRODUCT((Projects!$G$2:$G$45="Yes")*(14&gt;=Projects!$C$2:$C$45-$B$15)*((14&lt;=Projects!$W$2:$W$45-$B$106)*1+(14&gt;Projects!$W$2:$W$45-$B$106)*(14&lt;=Projects!$W$2:$W$45+$B$17)*$B$107)*((Projects!$B$2:$B$45&gt;=$B$12)*$B$6+(Projects!$B$2:$B$45&lt;$B$12)*(Projects!$B$2:$B$45&gt;=$B$13)*$B$7+(Projects!$B$2:$B$45&lt;$B$13)*$B$8))</f>
        <v>3.4125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3.6625</v>
      </c>
      <c r="U39" s="386" t="n">
        <f aca="false">SUMPRODUCT((Projects!$G$2:$G$45="Yes")*(17&gt;=Projects!$C$2:$C$45-$B$15)*((17&lt;=Projects!$W$2:$W$45-$B$106)*1+(17&gt;Projects!$W$2:$W$45-$B$106)*(17&lt;=Projects!$W$2:$W$45+$B$17)*$B$107)*((Projects!$B$2:$B$45&gt;=$B$12)*$B$6+(Projects!$B$2:$B$45&lt;$B$12)*(Projects!$B$2:$B$45&gt;=$B$13)*$B$7+(Projects!$B$2:$B$45&lt;$B$13)*$B$8))</f>
        <v>3.455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3.33</v>
      </c>
      <c r="X39" s="386" t="n">
        <f aca="false">SUMPRODUCT((Projects!$G$2:$G$45="Yes")*(20&gt;=Projects!$C$2:$C$45-$B$15)*((20&lt;=Projects!$W$2:$W$45-$B$106)*1+(20&gt;Projects!$W$2:$W$45-$B$106)*(20&lt;=Projects!$W$2:$W$45+$B$17)*$B$107)*((Projects!$B$2:$B$45&gt;=$B$12)*$B$6+(Projects!$B$2:$B$45&lt;$B$12)*(Projects!$B$2:$B$45&gt;=$B$13)*$B$7+(Projects!$B$2:$B$45&lt;$B$13)*$B$8))</f>
        <v>3.705</v>
      </c>
      <c r="Y39" s="386" t="n">
        <f aca="false">SUMPRODUCT((Projects!$G$2:$G$45="Yes")*(21&gt;=Projects!$C$2:$C$45-$B$15)*((21&lt;=Projects!$W$2:$W$45-$B$106)*1+(21&gt;Projects!$W$2:$W$45-$B$106)*(21&lt;=Projects!$W$2:$W$45+$B$17)*$B$107)*((Projects!$B$2:$B$45&gt;=$B$12)*$B$6+(Projects!$B$2:$B$45&lt;$B$12)*(Projects!$B$2:$B$45&gt;=$B$13)*$B$7+(Projects!$B$2:$B$45&lt;$B$13)*$B$8))</f>
        <v>3.455</v>
      </c>
      <c r="Z39" s="386" t="n">
        <f aca="false">SUMPRODUCT((Projects!$G$2:$G$45="Yes")*(22&gt;=Projects!$C$2:$C$45-$B$15)*((22&lt;=Projects!$W$2:$W$45-$B$106)*1+(22&gt;Projects!$W$2:$W$45-$B$106)*(22&lt;=Projects!$W$2:$W$45+$B$17)*$B$107)*((Projects!$B$2:$B$45&gt;=$B$12)*$B$6+(Projects!$B$2:$B$45&lt;$B$12)*(Projects!$B$2:$B$45&gt;=$B$13)*$B$7+(Projects!$B$2:$B$45&lt;$B$13)*$B$8))</f>
        <v>3.33</v>
      </c>
      <c r="AA39" s="386" t="n">
        <f aca="false">SUMPRODUCT((Projects!$G$2:$G$45="Yes")*(23&gt;=Projects!$C$2:$C$45-$B$15)*((23&lt;=Projects!$W$2:$W$45-$B$106)*1+(23&gt;Projects!$W$2:$W$45-$B$106)*(23&lt;=Projects!$W$2:$W$45+$B$17)*$B$107)*((Projects!$B$2:$B$45&gt;=$B$12)*$B$6+(Projects!$B$2:$B$45&lt;$B$12)*(Projects!$B$2:$B$45&gt;=$B$13)*$B$7+(Projects!$B$2:$B$45&lt;$B$13)*$B$8))</f>
        <v>3.33</v>
      </c>
      <c r="AB39" s="386" t="n">
        <f aca="false">SUMPRODUCT((Projects!$G$2:$G$45="Yes")*(24&gt;=Projects!$C$2:$C$45-$B$15)*((24&lt;=Projects!$W$2:$W$45-$B$106)*1+(24&gt;Projects!$W$2:$W$45-$B$106)*(24&lt;=Projects!$W$2:$W$45+$B$17)*$B$107)*((Projects!$B$2:$B$45&gt;=$B$12)*$B$6+(Projects!$B$2:$B$45&lt;$B$12)*(Projects!$B$2:$B$45&gt;=$B$13)*$B$7+(Projects!$B$2:$B$45&lt;$B$13)*$B$8))</f>
        <v>3.33</v>
      </c>
      <c r="AC39" s="386" t="n">
        <f aca="false">SUMPRODUCT((Projects!$G$2:$G$45="Yes")*(25&gt;=Projects!$C$2:$C$45-$B$15)*((25&lt;=Projects!$W$2:$W$45-$B$106)*1+(25&gt;Projects!$W$2:$W$45-$B$106)*(25&lt;=Projects!$W$2:$W$45+$B$17)*$B$107)*((Projects!$B$2:$B$45&gt;=$B$12)*$B$6+(Projects!$B$2:$B$45&lt;$B$12)*(Projects!$B$2:$B$45&gt;=$B$13)*$B$7+(Projects!$B$2:$B$45&lt;$B$13)*$B$8))</f>
        <v>3.205</v>
      </c>
      <c r="AD39" s="386" t="n">
        <f aca="false">SUMPRODUCT((Projects!$G$2:$G$45="Yes")*(26&gt;=Projects!$C$2:$C$45-$B$15)*((26&lt;=Projects!$W$2:$W$45-$B$106)*1+(26&gt;Projects!$W$2:$W$45-$B$106)*(26&lt;=Projects!$W$2:$W$45+$B$17)*$B$107)*((Projects!$B$2:$B$45&gt;=$B$12)*$B$6+(Projects!$B$2:$B$45&lt;$B$12)*(Projects!$B$2:$B$45&gt;=$B$13)*$B$7+(Projects!$B$2:$B$45&lt;$B$13)*$B$8))</f>
        <v>2.8725</v>
      </c>
      <c r="AE39" s="386" t="n">
        <f aca="false">SUMPRODUCT((Projects!$G$2:$G$45="Yes")*(27&gt;=Projects!$C$2:$C$45-$B$15)*((27&lt;=Projects!$W$2:$W$45-$B$106)*1+(27&gt;Projects!$W$2:$W$45-$B$106)*(27&lt;=Projects!$W$2:$W$45+$B$17)*$B$107)*((Projects!$B$2:$B$45&gt;=$B$12)*$B$6+(Projects!$B$2:$B$45&lt;$B$12)*(Projects!$B$2:$B$45&gt;=$B$13)*$B$7+(Projects!$B$2:$B$45&lt;$B$13)*$B$8))</f>
        <v>3.29</v>
      </c>
      <c r="AF39" s="386" t="n">
        <f aca="false">SUMPRODUCT((Projects!$G$2:$G$45="Yes")*(28&gt;=Projects!$C$2:$C$45-$B$15)*((28&lt;=Projects!$W$2:$W$45-$B$106)*1+(28&gt;Projects!$W$2:$W$45-$B$106)*(28&lt;=Projects!$W$2:$W$45+$B$17)*$B$107)*((Projects!$B$2:$B$45&gt;=$B$12)*$B$6+(Projects!$B$2:$B$45&lt;$B$12)*(Projects!$B$2:$B$45&gt;=$B$13)*$B$7+(Projects!$B$2:$B$45&lt;$B$13)*$B$8))</f>
        <v>3.29</v>
      </c>
      <c r="AG39" s="386" t="n">
        <f aca="false">SUMPRODUCT((Projects!$G$2:$G$45="Yes")*(29&gt;=Projects!$C$2:$C$45-$B$15)*((29&lt;=Projects!$W$2:$W$45-$B$106)*1+(29&gt;Projects!$W$2:$W$45-$B$106)*(29&lt;=Projects!$W$2:$W$45+$B$17)*$B$107)*((Projects!$B$2:$B$45&gt;=$B$12)*$B$6+(Projects!$B$2:$B$45&lt;$B$12)*(Projects!$B$2:$B$45&gt;=$B$13)*$B$7+(Projects!$B$2:$B$45&lt;$B$13)*$B$8))</f>
        <v>3.29</v>
      </c>
      <c r="AH39" s="386" t="n">
        <f aca="false">SUMPRODUCT((Projects!$G$2:$G$45="Yes")*(30&gt;=Projects!$C$2:$C$45-$B$15)*((30&lt;=Projects!$W$2:$W$45-$B$106)*1+(30&gt;Projects!$W$2:$W$45-$B$106)*(30&lt;=Projects!$W$2:$W$45+$B$17)*$B$107)*((Projects!$B$2:$B$45&gt;=$B$12)*$B$6+(Projects!$B$2:$B$45&lt;$B$12)*(Projects!$B$2:$B$45&gt;=$B$13)*$B$7+(Projects!$B$2:$B$45&lt;$B$13)*$B$8))</f>
        <v>2.8325</v>
      </c>
      <c r="AI39" s="386" t="n">
        <f aca="false">SUMPRODUCT((Projects!$G$2:$G$45="Yes")*(31&gt;=Projects!$C$2:$C$45-$B$15)*((31&lt;=Projects!$W$2:$W$45-$B$106)*1+(31&gt;Projects!$W$2:$W$45-$B$106)*(31&lt;=Projects!$W$2:$W$45+$B$17)*$B$107)*((Projects!$B$2:$B$45&gt;=$B$12)*$B$6+(Projects!$B$2:$B$45&lt;$B$12)*(Projects!$B$2:$B$45&gt;=$B$13)*$B$7+(Projects!$B$2:$B$45&lt;$B$13)*$B$8))</f>
        <v>2.625</v>
      </c>
      <c r="AJ39" s="386" t="n">
        <f aca="false">SUMPRODUCT((Projects!$G$2:$G$45="Yes")*(32&gt;=Projects!$C$2:$C$45-$B$15)*((32&lt;=Projects!$W$2:$W$45-$B$106)*1+(32&gt;Projects!$W$2:$W$45-$B$106)*(32&lt;=Projects!$W$2:$W$45+$B$17)*$B$107)*((Projects!$B$2:$B$45&gt;=$B$12)*$B$6+(Projects!$B$2:$B$45&lt;$B$12)*(Projects!$B$2:$B$45&gt;=$B$13)*$B$7+(Projects!$B$2:$B$45&lt;$B$13)*$B$8))</f>
        <v>2.5</v>
      </c>
      <c r="AK39" s="386" t="n">
        <f aca="false">SUMPRODUCT((Projects!$G$2:$G$45="Yes")*(33&gt;=Projects!$C$2:$C$45-$B$15)*((33&lt;=Projects!$W$2:$W$45-$B$106)*1+(33&gt;Projects!$W$2:$W$45-$B$106)*(33&lt;=Projects!$W$2:$W$45+$B$17)*$B$107)*((Projects!$B$2:$B$45&gt;=$B$12)*$B$6+(Projects!$B$2:$B$45&lt;$B$12)*(Projects!$B$2:$B$45&gt;=$B$13)*$B$7+(Projects!$B$2:$B$45&lt;$B$13)*$B$8))</f>
        <v>2.5</v>
      </c>
      <c r="AL39" s="386" t="n">
        <f aca="false">SUMPRODUCT((Projects!$G$2:$G$45="Yes")*(34&gt;=Projects!$C$2:$C$45-$B$15)*((34&lt;=Projects!$W$2:$W$45-$B$106)*1+(34&gt;Projects!$W$2:$W$45-$B$106)*(34&lt;=Projects!$W$2:$W$45+$B$17)*$B$107)*((Projects!$B$2:$B$45&gt;=$B$12)*$B$6+(Projects!$B$2:$B$45&lt;$B$12)*(Projects!$B$2:$B$45&gt;=$B$13)*$B$7+(Projects!$B$2:$B$45&lt;$B$13)*$B$8))</f>
        <v>2</v>
      </c>
      <c r="AM39" s="386" t="n">
        <f aca="false">SUMPRODUCT((Projects!$G$2:$G$45="Yes")*(35&gt;=Projects!$C$2:$C$45-$B$15)*((35&lt;=Projects!$W$2:$W$45-$B$106)*1+(35&gt;Projects!$W$2:$W$45-$B$106)*(35&lt;=Projects!$W$2:$W$45+$B$17)*$B$107)*((Projects!$B$2:$B$45&gt;=$B$12)*$B$6+(Projects!$B$2:$B$45&lt;$B$12)*(Projects!$B$2:$B$45&gt;=$B$13)*$B$7+(Projects!$B$2:$B$45&lt;$B$13)*$B$8))</f>
        <v>1.875</v>
      </c>
      <c r="AN39" s="386" t="n">
        <f aca="false">SUMPRODUCT((Projects!$G$2:$G$45="Yes")*(36&gt;=Projects!$C$2:$C$45-$B$15)*((36&lt;=Projects!$W$2:$W$45-$B$106)*1+(36&gt;Projects!$W$2:$W$45-$B$106)*(36&lt;=Projects!$W$2:$W$45+$B$17)*$B$107)*((Projects!$B$2:$B$45&gt;=$B$12)*$B$6+(Projects!$B$2:$B$45&lt;$B$12)*(Projects!$B$2:$B$45&gt;=$B$13)*$B$7+(Projects!$B$2:$B$45&lt;$B$13)*$B$8))</f>
        <v>1.75</v>
      </c>
      <c r="AO39" s="386" t="n">
        <f aca="false">SUMPRODUCT((Projects!$G$2:$G$45="Yes")*(37&gt;=Projects!$C$2:$C$45-$B$15)*((37&lt;=Projects!$W$2:$W$45-$B$106)*1+(37&gt;Projects!$W$2:$W$45-$B$106)*(37&lt;=Projects!$W$2:$W$45+$B$17)*$B$107)*((Projects!$B$2:$B$45&gt;=$B$12)*$B$6+(Projects!$B$2:$B$45&lt;$B$12)*(Projects!$B$2:$B$45&gt;=$B$13)*$B$7+(Projects!$B$2:$B$45&lt;$B$13)*$B$8))</f>
        <v>1.75</v>
      </c>
      <c r="AP39" s="386" t="n">
        <f aca="false">SUMPRODUCT((Projects!$G$2:$G$45="Yes")*(38&gt;=Projects!$C$2:$C$45-$B$15)*((38&lt;=Projects!$W$2:$W$45-$B$106)*1+(38&gt;Projects!$W$2:$W$45-$B$106)*(38&lt;=Projects!$W$2:$W$45+$B$17)*$B$107)*((Projects!$B$2:$B$45&gt;=$B$12)*$B$6+(Projects!$B$2:$B$45&lt;$B$12)*(Projects!$B$2:$B$45&gt;=$B$13)*$B$7+(Projects!$B$2:$B$45&lt;$B$13)*$B$8))</f>
        <v>1.5</v>
      </c>
      <c r="AQ39" s="386" t="n">
        <f aca="false">SUMPRODUCT((Projects!$G$2:$G$45="Yes")*(39&gt;=Projects!$C$2:$C$45-$B$15)*((39&lt;=Projects!$W$2:$W$45-$B$106)*1+(39&gt;Projects!$W$2:$W$45-$B$106)*(39&lt;=Projects!$W$2:$W$45+$B$17)*$B$107)*((Projects!$B$2:$B$45&gt;=$B$12)*$B$6+(Projects!$B$2:$B$45&lt;$B$12)*(Projects!$B$2:$B$45&gt;=$B$13)*$B$7+(Projects!$B$2:$B$45&lt;$B$13)*$B$8))</f>
        <v>1.5</v>
      </c>
      <c r="AR39" s="386" t="n">
        <f aca="false">SUMPRODUCT((Projects!$G$2:$G$45="Yes")*(40&gt;=Projects!$C$2:$C$45-$B$15)*((40&lt;=Projects!$W$2:$W$45-$B$106)*1+(40&gt;Projects!$W$2:$W$45-$B$106)*(40&lt;=Projects!$W$2:$W$45+$B$17)*$B$107)*((Projects!$B$2:$B$45&gt;=$B$12)*$B$6+(Projects!$B$2:$B$45&lt;$B$12)*(Projects!$B$2:$B$45&gt;=$B$13)*$B$7+(Projects!$B$2:$B$45&lt;$B$13)*$B$8))</f>
        <v>1.25</v>
      </c>
      <c r="AS39" s="386" t="n">
        <f aca="false">SUMPRODUCT((Projects!$G$2:$G$45="Yes")*(41&gt;=Projects!$C$2:$C$45-$B$15)*((41&lt;=Projects!$W$2:$W$45-$B$106)*1+(41&gt;Projects!$W$2:$W$45-$B$106)*(41&lt;=Projects!$W$2:$W$45+$B$17)*$B$107)*((Projects!$B$2:$B$45&gt;=$B$12)*$B$6+(Projects!$B$2:$B$45&lt;$B$12)*(Projects!$B$2:$B$45&gt;=$B$13)*$B$7+(Projects!$B$2:$B$45&lt;$B$13)*$B$8))</f>
        <v>1</v>
      </c>
      <c r="AT39" s="386" t="n">
        <f aca="false">SUMPRODUCT((Projects!$G$2:$G$45="Yes")*(42&gt;=Projects!$C$2:$C$45-$B$15)*((42&lt;=Projects!$W$2:$W$45-$B$106)*1+(42&gt;Projects!$W$2:$W$45-$B$106)*(42&lt;=Projects!$W$2:$W$45+$B$17)*$B$107)*((Projects!$B$2:$B$45&gt;=$B$12)*$B$6+(Projects!$B$2:$B$45&lt;$B$12)*(Projects!$B$2:$B$45&gt;=$B$13)*$B$7+(Projects!$B$2:$B$45&lt;$B$13)*$B$8))</f>
        <v>1</v>
      </c>
      <c r="AU39" s="386" t="n">
        <f aca="false">SUMPRODUCT((Projects!$G$2:$G$45="Yes")*(43&gt;=Projects!$C$2:$C$45-$B$15)*((43&lt;=Projects!$W$2:$W$45-$B$106)*1+(43&gt;Projects!$W$2:$W$45-$B$106)*(43&lt;=Projects!$W$2:$W$45+$B$17)*$B$107)*((Projects!$B$2:$B$45&gt;=$B$12)*$B$6+(Projects!$B$2:$B$45&lt;$B$12)*(Projects!$B$2:$B$45&gt;=$B$13)*$B$7+(Projects!$B$2:$B$45&lt;$B$13)*$B$8))</f>
        <v>1</v>
      </c>
      <c r="AV39" s="386" t="n">
        <f aca="false">SUMPRODUCT((Projects!$G$2:$G$45="Yes")*(44&gt;=Projects!$C$2:$C$45-$B$15)*((44&lt;=Projects!$W$2:$W$45-$B$106)*1+(44&gt;Projects!$W$2:$W$45-$B$106)*(44&lt;=Projects!$W$2:$W$45+$B$17)*$B$107)*((Projects!$B$2:$B$45&gt;=$B$12)*$B$6+(Projects!$B$2:$B$45&lt;$B$12)*(Projects!$B$2:$B$45&gt;=$B$13)*$B$7+(Projects!$B$2:$B$45&lt;$B$13)*$B$8))</f>
        <v>0.75</v>
      </c>
      <c r="AW39" s="386" t="n">
        <f aca="false">SUMPRODUCT((Projects!$G$2:$G$45="Yes")*(45&gt;=Projects!$C$2:$C$45-$B$15)*((45&lt;=Projects!$W$2:$W$45-$B$106)*1+(45&gt;Projects!$W$2:$W$45-$B$106)*(45&lt;=Projects!$W$2:$W$45+$B$17)*$B$107)*((Projects!$B$2:$B$45&gt;=$B$12)*$B$6+(Projects!$B$2:$B$45&lt;$B$12)*(Projects!$B$2:$B$45&gt;=$B$13)*$B$7+(Projects!$B$2:$B$45&lt;$B$13)*$B$8))</f>
        <v>0.5</v>
      </c>
      <c r="AX39" s="386" t="n">
        <f aca="false">SUMPRODUCT((Projects!$G$2:$G$45="Yes")*(46&gt;=Projects!$C$2:$C$45-$B$15)*((46&lt;=Projects!$W$2:$W$45-$B$106)*1+(46&gt;Projects!$W$2:$W$45-$B$106)*(46&lt;=Projects!$W$2:$W$45+$B$17)*$B$107)*((Projects!$B$2:$B$45&gt;=$B$12)*$B$6+(Projects!$B$2:$B$45&lt;$B$12)*(Projects!$B$2:$B$45&gt;=$B$13)*$B$7+(Projects!$B$2:$B$45&lt;$B$13)*$B$8))</f>
        <v>0.5</v>
      </c>
      <c r="AY39" s="386" t="n">
        <f aca="false">SUMPRODUCT((Projects!$G$2:$G$45="Yes")*(47&gt;=Projects!$C$2:$C$45-$B$15)*((47&lt;=Projects!$W$2:$W$45-$B$106)*1+(47&gt;Projects!$W$2:$W$45-$B$106)*(47&lt;=Projects!$W$2:$W$45+$B$17)*$B$107)*((Projects!$B$2:$B$45&gt;=$B$12)*$B$6+(Projects!$B$2:$B$45&lt;$B$12)*(Projects!$B$2:$B$45&gt;=$B$13)*$B$7+(Projects!$B$2:$B$45&lt;$B$13)*$B$8))</f>
        <v>0.5</v>
      </c>
      <c r="AZ39" s="386" t="n">
        <f aca="false">SUMPRODUCT((Projects!$G$2:$G$45="Yes")*(48&gt;=Projects!$C$2:$C$45-$B$15)*((48&lt;=Projects!$W$2:$W$45-$B$106)*1+(48&gt;Projects!$W$2:$W$45-$B$106)*(48&lt;=Projects!$W$2:$W$45+$B$17)*$B$107)*((Projects!$B$2:$B$45&gt;=$B$12)*$B$6+(Projects!$B$2:$B$45&lt;$B$12)*(Projects!$B$2:$B$45&gt;=$B$13)*$B$7+(Projects!$B$2:$B$45&lt;$B$13)*$B$8))</f>
        <v>0.5</v>
      </c>
      <c r="BA39" s="386" t="n">
        <f aca="false">SUMPRODUCT((Projects!$G$2:$G$45="Yes")*(49&gt;=Projects!$C$2:$C$45-$B$15)*((49&lt;=Projects!$W$2:$W$45-$B$106)*1+(49&gt;Projects!$W$2:$W$45-$B$106)*(49&lt;=Projects!$W$2:$W$45+$B$17)*$B$107)*((Projects!$B$2:$B$45&gt;=$B$12)*$B$6+(Projects!$B$2:$B$45&lt;$B$12)*(Projects!$B$2:$B$45&gt;=$B$13)*$B$7+(Projects!$B$2:$B$45&lt;$B$13)*$B$8))</f>
        <v>0.5</v>
      </c>
      <c r="BB39" s="386" t="n">
        <f aca="false">SUMPRODUCT((Projects!$G$2:$G$45="Yes")*(50&gt;=Projects!$C$2:$C$45-$B$15)*((50&lt;=Projects!$W$2:$W$45-$B$106)*1+(50&gt;Projects!$W$2:$W$45-$B$106)*(50&lt;=Projects!$W$2:$W$45+$B$17)*$B$107)*((Projects!$B$2:$B$45&gt;=$B$12)*$B$6+(Projects!$B$2:$B$45&lt;$B$12)*(Projects!$B$2:$B$45&gt;=$B$13)*$B$7+(Projects!$B$2:$B$45&lt;$B$13)*$B$8))</f>
        <v>0.5</v>
      </c>
      <c r="BC39" s="386" t="n">
        <f aca="false">SUMPRODUCT((Projects!$G$2:$G$45="Yes")*(51&gt;=Projects!$C$2:$C$45-$B$15)*((51&lt;=Projects!$W$2:$W$45-$B$106)*1+(51&gt;Projects!$W$2:$W$45-$B$106)*(51&lt;=Projects!$W$2:$W$45+$B$17)*$B$107)*((Projects!$B$2:$B$45&gt;=$B$12)*$B$6+(Projects!$B$2:$B$45&lt;$B$12)*(Projects!$B$2:$B$45&gt;=$B$13)*$B$7+(Projects!$B$2:$B$45&lt;$B$13)*$B$8))</f>
        <v>0.5</v>
      </c>
      <c r="BD39" s="386" t="n">
        <f aca="false">SUMPRODUCT((Projects!$G$2:$G$45="Yes")*(52&gt;=Projects!$C$2:$C$45-$B$15)*((52&lt;=Projects!$W$2:$W$45-$B$106)*1+(52&gt;Projects!$W$2:$W$45-$B$106)*(52&lt;=Projects!$W$2:$W$45+$B$17)*$B$107)*((Projects!$B$2:$B$45&gt;=$B$12)*$B$6+(Projects!$B$2:$B$45&lt;$B$12)*(Projects!$B$2:$B$45&gt;=$B$13)*$B$7+(Projects!$B$2:$B$45&lt;$B$13)*$B$8))</f>
        <v>0.5</v>
      </c>
      <c r="BE39" s="386" t="n">
        <f aca="false">SUMPRODUCT((Projects!$G$2:$G$45="Yes")*(53&gt;=Projects!$C$2:$C$45-$B$15)*((53&lt;=Projects!$W$2:$W$45-$B$106)*1+(53&gt;Projects!$W$2:$W$45-$B$106)*(53&lt;=Projects!$W$2:$W$45+$B$17)*$B$107)*((Projects!$B$2:$B$45&gt;=$B$12)*$B$6+(Projects!$B$2:$B$45&lt;$B$12)*(Projects!$B$2:$B$45&gt;=$B$13)*$B$7+(Projects!$B$2:$B$45&lt;$B$13)*$B$8))</f>
        <v>0.5</v>
      </c>
      <c r="BF39" s="386" t="n">
        <f aca="false">SUMPRODUCT((Projects!$G$2:$G$45="Yes")*(54&gt;=Projects!$C$2:$C$45-$B$15)*((54&lt;=Projects!$W$2:$W$45-$B$106)*1+(54&gt;Projects!$W$2:$W$45-$B$106)*(54&lt;=Projects!$W$2:$W$45+$B$17)*$B$107)*((Projects!$B$2:$B$45&gt;=$B$12)*$B$6+(Projects!$B$2:$B$45&lt;$B$12)*(Projects!$B$2:$B$45&gt;=$B$13)*$B$7+(Projects!$B$2:$B$45&lt;$B$13)*$B$8))</f>
        <v>0.25</v>
      </c>
      <c r="BG39" s="386" t="n">
        <f aca="false">SUMPRODUCT((Projects!$G$2:$G$45="Yes")*(55&gt;=Projects!$C$2:$C$45-$B$15)*((55&lt;=Projects!$W$2:$W$45-$B$106)*1+(55&gt;Projects!$W$2:$W$45-$B$106)*(55&lt;=Projects!$W$2:$W$45+$B$17)*$B$107)*((Projects!$B$2:$B$45&gt;=$B$12)*$B$6+(Projects!$B$2:$B$45&lt;$B$12)*(Projects!$B$2:$B$45&gt;=$B$13)*$B$7+(Projects!$B$2:$B$45&lt;$B$13)*$B$8))</f>
        <v>0.25</v>
      </c>
      <c r="BH39" s="386" t="n">
        <f aca="false">SUMPRODUCT((Projects!$G$2:$G$45="Yes")*(56&gt;=Projects!$C$2:$C$45-$B$15)*((56&lt;=Projects!$W$2:$W$45-$B$106)*1+(56&gt;Projects!$W$2:$W$45-$B$106)*(56&lt;=Projects!$W$2:$W$45+$B$17)*$B$107)*((Projects!$B$2:$B$45&gt;=$B$12)*$B$6+(Projects!$B$2:$B$45&lt;$B$12)*(Projects!$B$2:$B$45&gt;=$B$13)*$B$7+(Projects!$B$2:$B$45&lt;$B$13)*$B$8))</f>
        <v>0.25</v>
      </c>
      <c r="BI39" s="386" t="n">
        <f aca="false">SUMPRODUCT((Projects!$G$2:$G$45="Yes")*(57&gt;=Projects!$C$2:$C$45-$B$15)*((57&lt;=Projects!$W$2:$W$45-$B$106)*1+(57&gt;Projects!$W$2:$W$45-$B$106)*(57&lt;=Projects!$W$2:$W$45+$B$17)*$B$107)*((Projects!$B$2:$B$45&gt;=$B$12)*$B$6+(Projects!$B$2:$B$45&lt;$B$12)*(Projects!$B$2:$B$45&gt;=$B$13)*$B$7+(Projects!$B$2:$B$45&lt;$B$13)*$B$8))</f>
        <v>0.25</v>
      </c>
      <c r="BJ39" s="386" t="n">
        <f aca="false">SUMPRODUCT((Projects!$G$2:$G$45="Yes")*(58&gt;=Projects!$C$2:$C$45-$B$15)*((58&lt;=Projects!$W$2:$W$45-$B$106)*1+(58&gt;Projects!$W$2:$W$45-$B$106)*(58&lt;=Projects!$W$2:$W$45+$B$17)*$B$107)*((Projects!$B$2:$B$45&gt;=$B$12)*$B$6+(Projects!$B$2:$B$45&lt;$B$12)*(Projects!$B$2:$B$45&gt;=$B$13)*$B$7+(Projects!$B$2:$B$45&lt;$B$13)*$B$8))</f>
        <v>0</v>
      </c>
      <c r="BK39" s="386" t="n">
        <f aca="false">SUMPRODUCT((Projects!$G$2:$G$45="Yes")*(59&gt;=Projects!$C$2:$C$45-$B$15)*((59&lt;=Projects!$W$2:$W$45-$B$106)*1+(59&gt;Projects!$W$2:$W$45-$B$106)*(59&lt;=Projects!$W$2:$W$45+$B$17)*$B$107)*((Projects!$B$2:$B$45&gt;=$B$12)*$B$6+(Projects!$B$2:$B$45&lt;$B$12)*(Projects!$B$2:$B$45&gt;=$B$13)*$B$7+(Projects!$B$2:$B$45&lt;$B$13)*$B$8))</f>
        <v>0</v>
      </c>
      <c r="BL39" s="386" t="n">
        <f aca="false">SUMPRODUCT((Projects!$G$2:$G$45="Yes")*(60&gt;=Projects!$C$2:$C$45-$B$15)*((60&lt;=Projects!$W$2:$W$45-$B$106)*1+(60&gt;Projects!$W$2:$W$45-$B$106)*(60&lt;=Projects!$W$2:$W$45+$B$17)*$B$107)*((Projects!$B$2:$B$45&gt;=$B$12)*$B$6+(Projects!$B$2:$B$45&lt;$B$12)*(Projects!$B$2:$B$45&gt;=$B$13)*$B$7+(Projects!$B$2:$B$45&lt;$B$13)*$B$8))</f>
        <v>0</v>
      </c>
      <c r="BM39" s="386" t="n">
        <f aca="false">SUMPRODUCT((Projects!$G$2:$G$45="Yes")*(61&gt;=Projects!$C$2:$C$45-$B$15)*((61&lt;=Projects!$W$2:$W$45-$B$106)*1+(61&gt;Projects!$W$2:$W$45-$B$106)*(61&lt;=Projects!$W$2:$W$45+$B$17)*$B$107)*((Projects!$B$2:$B$45&gt;=$B$12)*$B$6+(Projects!$B$2:$B$45&lt;$B$12)*(Projects!$B$2:$B$45&gt;=$B$13)*$B$7+(Projects!$B$2:$B$45&lt;$B$13)*$B$8))</f>
        <v>0</v>
      </c>
      <c r="BN39" s="386" t="n">
        <f aca="false">SUMPRODUCT((Projects!$G$2:$G$45="Yes")*(62&gt;=Projects!$C$2:$C$45-$B$15)*((62&lt;=Projects!$W$2:$W$45-$B$106)*1+(62&gt;Projects!$W$2:$W$45-$B$106)*(62&lt;=Projects!$W$2:$W$45+$B$17)*$B$107)*((Projects!$B$2:$B$45&gt;=$B$12)*$B$6+(Projects!$B$2:$B$45&lt;$B$12)*(Projects!$B$2:$B$45&gt;=$B$13)*$B$7+(Projects!$B$2:$B$45&lt;$B$13)*$B$8))</f>
        <v>0</v>
      </c>
      <c r="BO39" s="386" t="n">
        <f aca="false">SUMPRODUCT((Projects!$G$2:$G$45="Yes")*(63&gt;=Projects!$C$2:$C$45-$B$15)*((63&lt;=Projects!$W$2:$W$45-$B$106)*1+(63&gt;Projects!$W$2:$W$45-$B$106)*(63&lt;=Projects!$W$2:$W$45+$B$17)*$B$107)*((Projects!$B$2:$B$45&gt;=$B$12)*$B$6+(Projects!$B$2:$B$45&lt;$B$12)*(Projects!$B$2:$B$45&gt;=$B$13)*$B$7+(Projects!$B$2:$B$45&lt;$B$13)*$B$8))</f>
        <v>0</v>
      </c>
      <c r="BP39" s="386" t="n">
        <f aca="false">SUMPRODUCT((Projects!$G$2:$G$45="Yes")*(64&gt;=Projects!$C$2:$C$45-$B$15)*((64&lt;=Projects!$W$2:$W$45-$B$106)*1+(64&gt;Projects!$W$2:$W$45-$B$106)*(64&lt;=Projects!$W$2:$W$45+$B$17)*$B$107)*((Projects!$B$2:$B$45&gt;=$B$12)*$B$6+(Projects!$B$2:$B$45&lt;$B$12)*(Projects!$B$2:$B$45&gt;=$B$13)*$B$7+(Projects!$B$2:$B$45&lt;$B$13)*$B$8))</f>
        <v>0</v>
      </c>
      <c r="BQ39" s="386" t="n">
        <f aca="false">SUMPRODUCT((Projects!$G$2:$G$45="Yes")*(65&gt;=Projects!$C$2:$C$45-$B$15)*((65&lt;=Projects!$W$2:$W$45-$B$106)*1+(65&gt;Projects!$W$2:$W$45-$B$106)*(65&lt;=Projects!$W$2:$W$45+$B$17)*$B$107)*((Projects!$B$2:$B$45&gt;=$B$12)*$B$6+(Projects!$B$2:$B$45&lt;$B$12)*(Projects!$B$2:$B$45&gt;=$B$13)*$B$7+(Projects!$B$2:$B$45&lt;$B$13)*$B$8))</f>
        <v>0</v>
      </c>
      <c r="BR39" s="386" t="n">
        <f aca="false">SUMPRODUCT((Projects!$G$2:$G$45="Yes")*(66&gt;=Projects!$C$2:$C$45-$B$15)*((66&lt;=Projects!$W$2:$W$45-$B$106)*1+(66&gt;Projects!$W$2:$W$45-$B$106)*(66&lt;=Projects!$W$2:$W$45+$B$17)*$B$107)*((Projects!$B$2:$B$45&gt;=$B$12)*$B$6+(Projects!$B$2:$B$45&lt;$B$12)*(Projects!$B$2:$B$45&gt;=$B$13)*$B$7+(Projects!$B$2:$B$45&lt;$B$13)*$B$8))</f>
        <v>0</v>
      </c>
      <c r="BS39" s="386" t="n">
        <f aca="false">SUMPRODUCT((Projects!$G$2:$G$45="Yes")*(67&gt;=Projects!$C$2:$C$45-$B$15)*((67&lt;=Projects!$W$2:$W$45-$B$106)*1+(67&gt;Projects!$W$2:$W$45-$B$106)*(67&lt;=Projects!$W$2:$W$45+$B$17)*$B$107)*((Projects!$B$2:$B$45&gt;=$B$12)*$B$6+(Projects!$B$2:$B$45&lt;$B$12)*(Projects!$B$2:$B$45&gt;=$B$13)*$B$7+(Projects!$B$2:$B$45&lt;$B$13)*$B$8))</f>
        <v>0</v>
      </c>
      <c r="BT39" s="386" t="n">
        <f aca="false">SUMPRODUCT((Projects!$G$2:$G$45="Yes")*(68&gt;=Projects!$C$2:$C$45-$B$15)*((68&lt;=Projects!$W$2:$W$45-$B$106)*1+(68&gt;Projects!$W$2:$W$45-$B$106)*(68&lt;=Projects!$W$2:$W$45+$B$17)*$B$107)*((Projects!$B$2:$B$45&gt;=$B$12)*$B$6+(Projects!$B$2:$B$45&lt;$B$12)*(Projects!$B$2:$B$45&gt;=$B$13)*$B$7+(Projects!$B$2:$B$45&lt;$B$13)*$B$8))</f>
        <v>0</v>
      </c>
      <c r="BU39" s="386" t="n">
        <f aca="false">SUMPRODUCT((Projects!$G$2:$G$45="Yes")*(69&gt;=Projects!$C$2:$C$45-$B$15)*((69&lt;=Projects!$W$2:$W$45-$B$106)*1+(69&gt;Projects!$W$2:$W$45-$B$106)*(69&lt;=Projects!$W$2:$W$45+$B$17)*$B$107)*((Projects!$B$2:$B$45&gt;=$B$12)*$B$6+(Projects!$B$2:$B$45&lt;$B$12)*(Projects!$B$2:$B$45&gt;=$B$13)*$B$7+(Projects!$B$2:$B$45&lt;$B$13)*$B$8))</f>
        <v>0</v>
      </c>
      <c r="BV39" s="386" t="n">
        <f aca="false">SUMPRODUCT((Projects!$G$2:$G$45="Yes")*(70&gt;=Projects!$C$2:$C$45-$B$15)*((70&lt;=Projects!$W$2:$W$45-$B$106)*1+(70&gt;Projects!$W$2:$W$45-$B$106)*(70&lt;=Projects!$W$2:$W$45+$B$17)*$B$107)*((Projects!$B$2:$B$45&gt;=$B$12)*$B$6+(Projects!$B$2:$B$45&lt;$B$12)*(Projects!$B$2:$B$45&gt;=$B$13)*$B$7+(Projects!$B$2:$B$45&lt;$B$13)*$B$8))</f>
        <v>0</v>
      </c>
      <c r="BW39" s="386" t="n">
        <f aca="false">SUMPRODUCT((Projects!$G$2:$G$45="Yes")*(71&gt;=Projects!$C$2:$C$45-$B$15)*((71&lt;=Projects!$W$2:$W$45-$B$106)*1+(71&gt;Projects!$W$2:$W$45-$B$106)*(71&lt;=Projects!$W$2:$W$45+$B$17)*$B$107)*((Projects!$B$2:$B$45&gt;=$B$12)*$B$6+(Projects!$B$2:$B$45&lt;$B$12)*(Projects!$B$2:$B$45&gt;=$B$13)*$B$7+(Projects!$B$2:$B$45&lt;$B$13)*$B$8))</f>
        <v>0</v>
      </c>
      <c r="BX39" s="386" t="n">
        <f aca="false">SUMPRODUCT((Projects!$G$2:$G$45="Yes")*(72&gt;=Projects!$C$2:$C$45-$B$15)*((72&lt;=Projects!$W$2:$W$45-$B$106)*1+(72&gt;Projects!$W$2:$W$45-$B$106)*(72&lt;=Projects!$W$2:$W$45+$B$17)*$B$107)*((Projects!$B$2:$B$45&gt;=$B$12)*$B$6+(Projects!$B$2:$B$45&lt;$B$12)*(Projects!$B$2:$B$45&gt;=$B$13)*$B$7+(Projects!$B$2:$B$45&lt;$B$13)*$B$8))</f>
        <v>0</v>
      </c>
      <c r="BY39" s="386" t="n">
        <f aca="false">SUMPRODUCT((Projects!$G$2:$G$45="Yes")*(73&gt;=Projects!$C$2:$C$45-$B$15)*((73&lt;=Projects!$W$2:$W$45-$B$106)*1+(73&gt;Projects!$W$2:$W$45-$B$106)*(73&lt;=Projects!$W$2:$W$45+$B$17)*$B$107)*((Projects!$B$2:$B$45&gt;=$B$12)*$B$6+(Projects!$B$2:$B$45&lt;$B$12)*(Projects!$B$2:$B$45&gt;=$B$13)*$B$7+(Projects!$B$2:$B$45&lt;$B$13)*$B$8))</f>
        <v>0</v>
      </c>
      <c r="BZ39" s="386" t="n">
        <f aca="false">SUMPRODUCT((Projects!$G$2:$G$45="Yes")*(74&gt;=Projects!$C$2:$C$45-$B$15)*((74&lt;=Projects!$W$2:$W$45-$B$106)*1+(74&gt;Projects!$W$2:$W$45-$B$106)*(74&lt;=Projects!$W$2:$W$45+$B$17)*$B$107)*((Projects!$B$2:$B$45&gt;=$B$12)*$B$6+(Projects!$B$2:$B$45&lt;$B$12)*(Projects!$B$2:$B$45&gt;=$B$13)*$B$7+(Projects!$B$2:$B$45&lt;$B$13)*$B$8))</f>
        <v>0</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1378</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3.65</v>
      </c>
      <c r="R40" s="386" t="n">
        <f aca="false">SUMPRODUCT((Projects!$G$2:$G$45="Yes")*(14&gt;=Projects!$C$2:$C$45-$B$16)*((14&lt;=Projects!$W$2:$W$45-$B$106)*1+(14&gt;Projects!$W$2:$W$45-$B$106)*(14&lt;=Projects!$W$2:$W$45+$B$17)*$B$107)*((Projects!$B$2:$B$45&gt;=$B$12)*$B$9+(Projects!$B$2:$B$45&lt;$B$12)*(Projects!$B$2:$B$45&gt;=$B$13)*$B$10+(Projects!$B$2:$B$45&lt;$B$13)*$B$11))</f>
        <v>3.85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4.05</v>
      </c>
      <c r="U40" s="386" t="n">
        <f aca="false">SUMPRODUCT((Projects!$G$2:$G$45="Yes")*(17&gt;=Projects!$C$2:$C$45-$B$16)*((17&lt;=Projects!$W$2:$W$45-$B$106)*1+(17&gt;Projects!$W$2:$W$45-$B$106)*(17&lt;=Projects!$W$2:$W$45+$B$17)*$B$107)*((Projects!$B$2:$B$45&gt;=$B$12)*$B$9+(Projects!$B$2:$B$45&lt;$B$12)*(Projects!$B$2:$B$45&gt;=$B$13)*$B$10+(Projects!$B$2:$B$45&lt;$B$13)*$B$11))</f>
        <v>3.7</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3.6</v>
      </c>
      <c r="X40" s="386" t="n">
        <f aca="false">SUMPRODUCT((Projects!$G$2:$G$45="Yes")*(20&gt;=Projects!$C$2:$C$45-$B$16)*((20&lt;=Projects!$W$2:$W$45-$B$106)*1+(20&gt;Projects!$W$2:$W$45-$B$106)*(20&lt;=Projects!$W$2:$W$45+$B$17)*$B$107)*((Projects!$B$2:$B$45&gt;=$B$12)*$B$9+(Projects!$B$2:$B$45&lt;$B$12)*(Projects!$B$2:$B$45&gt;=$B$13)*$B$10+(Projects!$B$2:$B$45&lt;$B$13)*$B$11))</f>
        <v>4</v>
      </c>
      <c r="Y40" s="386" t="n">
        <f aca="false">SUMPRODUCT((Projects!$G$2:$G$45="Yes")*(21&gt;=Projects!$C$2:$C$45-$B$16)*((21&lt;=Projects!$W$2:$W$45-$B$106)*1+(21&gt;Projects!$W$2:$W$45-$B$106)*(21&lt;=Projects!$W$2:$W$45+$B$17)*$B$107)*((Projects!$B$2:$B$45&gt;=$B$12)*$B$9+(Projects!$B$2:$B$45&lt;$B$12)*(Projects!$B$2:$B$45&gt;=$B$13)*$B$10+(Projects!$B$2:$B$45&lt;$B$13)*$B$11))</f>
        <v>3.8</v>
      </c>
      <c r="Z40" s="386" t="n">
        <f aca="false">SUMPRODUCT((Projects!$G$2:$G$45="Yes")*(22&gt;=Projects!$C$2:$C$45-$B$16)*((22&lt;=Projects!$W$2:$W$45-$B$106)*1+(22&gt;Projects!$W$2:$W$45-$B$106)*(22&lt;=Projects!$W$2:$W$45+$B$17)*$B$107)*((Projects!$B$2:$B$45&gt;=$B$12)*$B$9+(Projects!$B$2:$B$45&lt;$B$12)*(Projects!$B$2:$B$45&gt;=$B$13)*$B$10+(Projects!$B$2:$B$45&lt;$B$13)*$B$11))</f>
        <v>3.7</v>
      </c>
      <c r="AA40" s="386" t="n">
        <f aca="false">SUMPRODUCT((Projects!$G$2:$G$45="Yes")*(23&gt;=Projects!$C$2:$C$45-$B$16)*((23&lt;=Projects!$W$2:$W$45-$B$106)*1+(23&gt;Projects!$W$2:$W$45-$B$106)*(23&lt;=Projects!$W$2:$W$45+$B$17)*$B$107)*((Projects!$B$2:$B$45&gt;=$B$12)*$B$9+(Projects!$B$2:$B$45&lt;$B$12)*(Projects!$B$2:$B$45&gt;=$B$13)*$B$10+(Projects!$B$2:$B$45&lt;$B$13)*$B$11))</f>
        <v>3.7</v>
      </c>
      <c r="AB40" s="386" t="n">
        <f aca="false">SUMPRODUCT((Projects!$G$2:$G$45="Yes")*(24&gt;=Projects!$C$2:$C$45-$B$16)*((24&lt;=Projects!$W$2:$W$45-$B$106)*1+(24&gt;Projects!$W$2:$W$45-$B$106)*(24&lt;=Projects!$W$2:$W$45+$B$17)*$B$107)*((Projects!$B$2:$B$45&gt;=$B$12)*$B$9+(Projects!$B$2:$B$45&lt;$B$12)*(Projects!$B$2:$B$45&gt;=$B$13)*$B$10+(Projects!$B$2:$B$45&lt;$B$13)*$B$11))</f>
        <v>3.7</v>
      </c>
      <c r="AC40" s="386" t="n">
        <f aca="false">SUMPRODUCT((Projects!$G$2:$G$45="Yes")*(25&gt;=Projects!$C$2:$C$45-$B$16)*((25&lt;=Projects!$W$2:$W$45-$B$106)*1+(25&gt;Projects!$W$2:$W$45-$B$106)*(25&lt;=Projects!$W$2:$W$45+$B$17)*$B$107)*((Projects!$B$2:$B$45&gt;=$B$12)*$B$9+(Projects!$B$2:$B$45&lt;$B$12)*(Projects!$B$2:$B$45&gt;=$B$13)*$B$10+(Projects!$B$2:$B$45&lt;$B$13)*$B$11))</f>
        <v>3.6</v>
      </c>
      <c r="AD40" s="386" t="n">
        <f aca="false">SUMPRODUCT((Projects!$G$2:$G$45="Yes")*(26&gt;=Projects!$C$2:$C$45-$B$16)*((26&lt;=Projects!$W$2:$W$45-$B$106)*1+(26&gt;Projects!$W$2:$W$45-$B$106)*(26&lt;=Projects!$W$2:$W$45+$B$17)*$B$107)*((Projects!$B$2:$B$45&gt;=$B$12)*$B$9+(Projects!$B$2:$B$45&lt;$B$12)*(Projects!$B$2:$B$45&gt;=$B$13)*$B$10+(Projects!$B$2:$B$45&lt;$B$13)*$B$11))</f>
        <v>3.15</v>
      </c>
      <c r="AE40" s="386" t="n">
        <f aca="false">SUMPRODUCT((Projects!$G$2:$G$45="Yes")*(27&gt;=Projects!$C$2:$C$45-$B$16)*((27&lt;=Projects!$W$2:$W$45-$B$106)*1+(27&gt;Projects!$W$2:$W$45-$B$106)*(27&lt;=Projects!$W$2:$W$45+$B$17)*$B$107)*((Projects!$B$2:$B$45&gt;=$B$12)*$B$9+(Projects!$B$2:$B$45&lt;$B$12)*(Projects!$B$2:$B$45&gt;=$B$13)*$B$10+(Projects!$B$2:$B$45&lt;$B$13)*$B$11))</f>
        <v>3.4</v>
      </c>
      <c r="AF40" s="386" t="n">
        <f aca="false">SUMPRODUCT((Projects!$G$2:$G$45="Yes")*(28&gt;=Projects!$C$2:$C$45-$B$16)*((28&lt;=Projects!$W$2:$W$45-$B$106)*1+(28&gt;Projects!$W$2:$W$45-$B$106)*(28&lt;=Projects!$W$2:$W$45+$B$17)*$B$107)*((Projects!$B$2:$B$45&gt;=$B$12)*$B$9+(Projects!$B$2:$B$45&lt;$B$12)*(Projects!$B$2:$B$45&gt;=$B$13)*$B$10+(Projects!$B$2:$B$45&lt;$B$13)*$B$11))</f>
        <v>3.4</v>
      </c>
      <c r="AG40" s="386" t="n">
        <f aca="false">SUMPRODUCT((Projects!$G$2:$G$45="Yes")*(29&gt;=Projects!$C$2:$C$45-$B$16)*((29&lt;=Projects!$W$2:$W$45-$B$106)*1+(29&gt;Projects!$W$2:$W$45-$B$106)*(29&lt;=Projects!$W$2:$W$45+$B$17)*$B$107)*((Projects!$B$2:$B$45&gt;=$B$12)*$B$9+(Projects!$B$2:$B$45&lt;$B$12)*(Projects!$B$2:$B$45&gt;=$B$13)*$B$10+(Projects!$B$2:$B$45&lt;$B$13)*$B$11))</f>
        <v>3.4</v>
      </c>
      <c r="AH40" s="386" t="n">
        <f aca="false">SUMPRODUCT((Projects!$G$2:$G$45="Yes")*(30&gt;=Projects!$C$2:$C$45-$B$16)*((30&lt;=Projects!$W$2:$W$45-$B$106)*1+(30&gt;Projects!$W$2:$W$45-$B$106)*(30&lt;=Projects!$W$2:$W$45+$B$17)*$B$107)*((Projects!$B$2:$B$45&gt;=$B$12)*$B$9+(Projects!$B$2:$B$45&lt;$B$12)*(Projects!$B$2:$B$45&gt;=$B$13)*$B$10+(Projects!$B$2:$B$45&lt;$B$13)*$B$11))</f>
        <v>2.85</v>
      </c>
      <c r="AI40" s="386" t="n">
        <f aca="false">SUMPRODUCT((Projects!$G$2:$G$45="Yes")*(31&gt;=Projects!$C$2:$C$45-$B$16)*((31&lt;=Projects!$W$2:$W$45-$B$106)*1+(31&gt;Projects!$W$2:$W$45-$B$106)*(31&lt;=Projects!$W$2:$W$45+$B$17)*$B$107)*((Projects!$B$2:$B$45&gt;=$B$12)*$B$9+(Projects!$B$2:$B$45&lt;$B$12)*(Projects!$B$2:$B$45&gt;=$B$13)*$B$10+(Projects!$B$2:$B$45&lt;$B$13)*$B$11))</f>
        <v>2.5</v>
      </c>
      <c r="AJ40" s="386" t="n">
        <f aca="false">SUMPRODUCT((Projects!$G$2:$G$45="Yes")*(32&gt;=Projects!$C$2:$C$45-$B$16)*((32&lt;=Projects!$W$2:$W$45-$B$106)*1+(32&gt;Projects!$W$2:$W$45-$B$106)*(32&lt;=Projects!$W$2:$W$45+$B$17)*$B$107)*((Projects!$B$2:$B$45&gt;=$B$12)*$B$9+(Projects!$B$2:$B$45&lt;$B$12)*(Projects!$B$2:$B$45&gt;=$B$13)*$B$10+(Projects!$B$2:$B$45&lt;$B$13)*$B$11))</f>
        <v>2.4</v>
      </c>
      <c r="AK40" s="386" t="n">
        <f aca="false">SUMPRODUCT((Projects!$G$2:$G$45="Yes")*(33&gt;=Projects!$C$2:$C$45-$B$16)*((33&lt;=Projects!$W$2:$W$45-$B$106)*1+(33&gt;Projects!$W$2:$W$45-$B$106)*(33&lt;=Projects!$W$2:$W$45+$B$17)*$B$107)*((Projects!$B$2:$B$45&gt;=$B$12)*$B$9+(Projects!$B$2:$B$45&lt;$B$12)*(Projects!$B$2:$B$45&gt;=$B$13)*$B$10+(Projects!$B$2:$B$45&lt;$B$13)*$B$11))</f>
        <v>2.4</v>
      </c>
      <c r="AL40" s="386" t="n">
        <f aca="false">SUMPRODUCT((Projects!$G$2:$G$45="Yes")*(34&gt;=Projects!$C$2:$C$45-$B$16)*((34&lt;=Projects!$W$2:$W$45-$B$106)*1+(34&gt;Projects!$W$2:$W$45-$B$106)*(34&lt;=Projects!$W$2:$W$45+$B$17)*$B$107)*((Projects!$B$2:$B$45&gt;=$B$12)*$B$9+(Projects!$B$2:$B$45&lt;$B$12)*(Projects!$B$2:$B$45&gt;=$B$13)*$B$10+(Projects!$B$2:$B$45&lt;$B$13)*$B$11))</f>
        <v>1.95</v>
      </c>
      <c r="AM40" s="386" t="n">
        <f aca="false">SUMPRODUCT((Projects!$G$2:$G$45="Yes")*(35&gt;=Projects!$C$2:$C$45-$B$16)*((35&lt;=Projects!$W$2:$W$45-$B$106)*1+(35&gt;Projects!$W$2:$W$45-$B$106)*(35&lt;=Projects!$W$2:$W$45+$B$17)*$B$107)*((Projects!$B$2:$B$45&gt;=$B$12)*$B$9+(Projects!$B$2:$B$45&lt;$B$12)*(Projects!$B$2:$B$45&gt;=$B$13)*$B$10+(Projects!$B$2:$B$45&lt;$B$13)*$B$11))</f>
        <v>1.85</v>
      </c>
      <c r="AN40" s="386" t="n">
        <f aca="false">SUMPRODUCT((Projects!$G$2:$G$45="Yes")*(36&gt;=Projects!$C$2:$C$45-$B$16)*((36&lt;=Projects!$W$2:$W$45-$B$106)*1+(36&gt;Projects!$W$2:$W$45-$B$106)*(36&lt;=Projects!$W$2:$W$45+$B$17)*$B$107)*((Projects!$B$2:$B$45&gt;=$B$12)*$B$9+(Projects!$B$2:$B$45&lt;$B$12)*(Projects!$B$2:$B$45&gt;=$B$13)*$B$10+(Projects!$B$2:$B$45&lt;$B$13)*$B$11))</f>
        <v>1.75</v>
      </c>
      <c r="AO40" s="386" t="n">
        <f aca="false">SUMPRODUCT((Projects!$G$2:$G$45="Yes")*(37&gt;=Projects!$C$2:$C$45-$B$16)*((37&lt;=Projects!$W$2:$W$45-$B$106)*1+(37&gt;Projects!$W$2:$W$45-$B$106)*(37&lt;=Projects!$W$2:$W$45+$B$17)*$B$107)*((Projects!$B$2:$B$45&gt;=$B$12)*$B$9+(Projects!$B$2:$B$45&lt;$B$12)*(Projects!$B$2:$B$45&gt;=$B$13)*$B$10+(Projects!$B$2:$B$45&lt;$B$13)*$B$11))</f>
        <v>1.75</v>
      </c>
      <c r="AP40" s="386" t="n">
        <f aca="false">SUMPRODUCT((Projects!$G$2:$G$45="Yes")*(38&gt;=Projects!$C$2:$C$45-$B$16)*((38&lt;=Projects!$W$2:$W$45-$B$106)*1+(38&gt;Projects!$W$2:$W$45-$B$106)*(38&lt;=Projects!$W$2:$W$45+$B$17)*$B$107)*((Projects!$B$2:$B$45&gt;=$B$12)*$B$9+(Projects!$B$2:$B$45&lt;$B$12)*(Projects!$B$2:$B$45&gt;=$B$13)*$B$10+(Projects!$B$2:$B$45&lt;$B$13)*$B$11))</f>
        <v>1.5</v>
      </c>
      <c r="AQ40" s="386" t="n">
        <f aca="false">SUMPRODUCT((Projects!$G$2:$G$45="Yes")*(39&gt;=Projects!$C$2:$C$45-$B$16)*((39&lt;=Projects!$W$2:$W$45-$B$106)*1+(39&gt;Projects!$W$2:$W$45-$B$106)*(39&lt;=Projects!$W$2:$W$45+$B$17)*$B$107)*((Projects!$B$2:$B$45&gt;=$B$12)*$B$9+(Projects!$B$2:$B$45&lt;$B$12)*(Projects!$B$2:$B$45&gt;=$B$13)*$B$10+(Projects!$B$2:$B$45&lt;$B$13)*$B$11))</f>
        <v>1.5</v>
      </c>
      <c r="AR40" s="386" t="n">
        <f aca="false">SUMPRODUCT((Projects!$G$2:$G$45="Yes")*(40&gt;=Projects!$C$2:$C$45-$B$16)*((40&lt;=Projects!$W$2:$W$45-$B$106)*1+(40&gt;Projects!$W$2:$W$45-$B$106)*(40&lt;=Projects!$W$2:$W$45+$B$17)*$B$107)*((Projects!$B$2:$B$45&gt;=$B$12)*$B$9+(Projects!$B$2:$B$45&lt;$B$12)*(Projects!$B$2:$B$45&gt;=$B$13)*$B$10+(Projects!$B$2:$B$45&lt;$B$13)*$B$11))</f>
        <v>1.25</v>
      </c>
      <c r="AS40" s="386" t="n">
        <f aca="false">SUMPRODUCT((Projects!$G$2:$G$45="Yes")*(41&gt;=Projects!$C$2:$C$45-$B$16)*((41&lt;=Projects!$W$2:$W$45-$B$106)*1+(41&gt;Projects!$W$2:$W$45-$B$106)*(41&lt;=Projects!$W$2:$W$45+$B$17)*$B$107)*((Projects!$B$2:$B$45&gt;=$B$12)*$B$9+(Projects!$B$2:$B$45&lt;$B$12)*(Projects!$B$2:$B$45&gt;=$B$13)*$B$10+(Projects!$B$2:$B$45&lt;$B$13)*$B$11))</f>
        <v>1</v>
      </c>
      <c r="AT40" s="386" t="n">
        <f aca="false">SUMPRODUCT((Projects!$G$2:$G$45="Yes")*(42&gt;=Projects!$C$2:$C$45-$B$16)*((42&lt;=Projects!$W$2:$W$45-$B$106)*1+(42&gt;Projects!$W$2:$W$45-$B$106)*(42&lt;=Projects!$W$2:$W$45+$B$17)*$B$107)*((Projects!$B$2:$B$45&gt;=$B$12)*$B$9+(Projects!$B$2:$B$45&lt;$B$12)*(Projects!$B$2:$B$45&gt;=$B$13)*$B$10+(Projects!$B$2:$B$45&lt;$B$13)*$B$11))</f>
        <v>1</v>
      </c>
      <c r="AU40" s="386" t="n">
        <f aca="false">SUMPRODUCT((Projects!$G$2:$G$45="Yes")*(43&gt;=Projects!$C$2:$C$45-$B$16)*((43&lt;=Projects!$W$2:$W$45-$B$106)*1+(43&gt;Projects!$W$2:$W$45-$B$106)*(43&lt;=Projects!$W$2:$W$45+$B$17)*$B$107)*((Projects!$B$2:$B$45&gt;=$B$12)*$B$9+(Projects!$B$2:$B$45&lt;$B$12)*(Projects!$B$2:$B$45&gt;=$B$13)*$B$10+(Projects!$B$2:$B$45&lt;$B$13)*$B$11))</f>
        <v>1</v>
      </c>
      <c r="AV40" s="386" t="n">
        <f aca="false">SUMPRODUCT((Projects!$G$2:$G$45="Yes")*(44&gt;=Projects!$C$2:$C$45-$B$16)*((44&lt;=Projects!$W$2:$W$45-$B$106)*1+(44&gt;Projects!$W$2:$W$45-$B$106)*(44&lt;=Projects!$W$2:$W$45+$B$17)*$B$107)*((Projects!$B$2:$B$45&gt;=$B$12)*$B$9+(Projects!$B$2:$B$45&lt;$B$12)*(Projects!$B$2:$B$45&gt;=$B$13)*$B$10+(Projects!$B$2:$B$45&lt;$B$13)*$B$11))</f>
        <v>0.75</v>
      </c>
      <c r="AW40" s="386" t="n">
        <f aca="false">SUMPRODUCT((Projects!$G$2:$G$45="Yes")*(45&gt;=Projects!$C$2:$C$45-$B$16)*((45&lt;=Projects!$W$2:$W$45-$B$106)*1+(45&gt;Projects!$W$2:$W$45-$B$106)*(45&lt;=Projects!$W$2:$W$45+$B$17)*$B$107)*((Projects!$B$2:$B$45&gt;=$B$12)*$B$9+(Projects!$B$2:$B$45&lt;$B$12)*(Projects!$B$2:$B$45&gt;=$B$13)*$B$10+(Projects!$B$2:$B$45&lt;$B$13)*$B$11))</f>
        <v>0.5</v>
      </c>
      <c r="AX40" s="386" t="n">
        <f aca="false">SUMPRODUCT((Projects!$G$2:$G$45="Yes")*(46&gt;=Projects!$C$2:$C$45-$B$16)*((46&lt;=Projects!$W$2:$W$45-$B$106)*1+(46&gt;Projects!$W$2:$W$45-$B$106)*(46&lt;=Projects!$W$2:$W$45+$B$17)*$B$107)*((Projects!$B$2:$B$45&gt;=$B$12)*$B$9+(Projects!$B$2:$B$45&lt;$B$12)*(Projects!$B$2:$B$45&gt;=$B$13)*$B$10+(Projects!$B$2:$B$45&lt;$B$13)*$B$11))</f>
        <v>0.5</v>
      </c>
      <c r="AY40" s="386" t="n">
        <f aca="false">SUMPRODUCT((Projects!$G$2:$G$45="Yes")*(47&gt;=Projects!$C$2:$C$45-$B$16)*((47&lt;=Projects!$W$2:$W$45-$B$106)*1+(47&gt;Projects!$W$2:$W$45-$B$106)*(47&lt;=Projects!$W$2:$W$45+$B$17)*$B$107)*((Projects!$B$2:$B$45&gt;=$B$12)*$B$9+(Projects!$B$2:$B$45&lt;$B$12)*(Projects!$B$2:$B$45&gt;=$B$13)*$B$10+(Projects!$B$2:$B$45&lt;$B$13)*$B$11))</f>
        <v>0.5</v>
      </c>
      <c r="AZ40" s="386" t="n">
        <f aca="false">SUMPRODUCT((Projects!$G$2:$G$45="Yes")*(48&gt;=Projects!$C$2:$C$45-$B$16)*((48&lt;=Projects!$W$2:$W$45-$B$106)*1+(48&gt;Projects!$W$2:$W$45-$B$106)*(48&lt;=Projects!$W$2:$W$45+$B$17)*$B$107)*((Projects!$B$2:$B$45&gt;=$B$12)*$B$9+(Projects!$B$2:$B$45&lt;$B$12)*(Projects!$B$2:$B$45&gt;=$B$13)*$B$10+(Projects!$B$2:$B$45&lt;$B$13)*$B$11))</f>
        <v>0.5</v>
      </c>
      <c r="BA40" s="386" t="n">
        <f aca="false">SUMPRODUCT((Projects!$G$2:$G$45="Yes")*(49&gt;=Projects!$C$2:$C$45-$B$16)*((49&lt;=Projects!$W$2:$W$45-$B$106)*1+(49&gt;Projects!$W$2:$W$45-$B$106)*(49&lt;=Projects!$W$2:$W$45+$B$17)*$B$107)*((Projects!$B$2:$B$45&gt;=$B$12)*$B$9+(Projects!$B$2:$B$45&lt;$B$12)*(Projects!$B$2:$B$45&gt;=$B$13)*$B$10+(Projects!$B$2:$B$45&lt;$B$13)*$B$11))</f>
        <v>0.5</v>
      </c>
      <c r="BB40" s="386" t="n">
        <f aca="false">SUMPRODUCT((Projects!$G$2:$G$45="Yes")*(50&gt;=Projects!$C$2:$C$45-$B$16)*((50&lt;=Projects!$W$2:$W$45-$B$106)*1+(50&gt;Projects!$W$2:$W$45-$B$106)*(50&lt;=Projects!$W$2:$W$45+$B$17)*$B$107)*((Projects!$B$2:$B$45&gt;=$B$12)*$B$9+(Projects!$B$2:$B$45&lt;$B$12)*(Projects!$B$2:$B$45&gt;=$B$13)*$B$10+(Projects!$B$2:$B$45&lt;$B$13)*$B$11))</f>
        <v>0.5</v>
      </c>
      <c r="BC40" s="386" t="n">
        <f aca="false">SUMPRODUCT((Projects!$G$2:$G$45="Yes")*(51&gt;=Projects!$C$2:$C$45-$B$16)*((51&lt;=Projects!$W$2:$W$45-$B$106)*1+(51&gt;Projects!$W$2:$W$45-$B$106)*(51&lt;=Projects!$W$2:$W$45+$B$17)*$B$107)*((Projects!$B$2:$B$45&gt;=$B$12)*$B$9+(Projects!$B$2:$B$45&lt;$B$12)*(Projects!$B$2:$B$45&gt;=$B$13)*$B$10+(Projects!$B$2:$B$45&lt;$B$13)*$B$11))</f>
        <v>0.5</v>
      </c>
      <c r="BD40" s="386" t="n">
        <f aca="false">SUMPRODUCT((Projects!$G$2:$G$45="Yes")*(52&gt;=Projects!$C$2:$C$45-$B$16)*((52&lt;=Projects!$W$2:$W$45-$B$106)*1+(52&gt;Projects!$W$2:$W$45-$B$106)*(52&lt;=Projects!$W$2:$W$45+$B$17)*$B$107)*((Projects!$B$2:$B$45&gt;=$B$12)*$B$9+(Projects!$B$2:$B$45&lt;$B$12)*(Projects!$B$2:$B$45&gt;=$B$13)*$B$10+(Projects!$B$2:$B$45&lt;$B$13)*$B$11))</f>
        <v>0.5</v>
      </c>
      <c r="BE40" s="386" t="n">
        <f aca="false">SUMPRODUCT((Projects!$G$2:$G$45="Yes")*(53&gt;=Projects!$C$2:$C$45-$B$16)*((53&lt;=Projects!$W$2:$W$45-$B$106)*1+(53&gt;Projects!$W$2:$W$45-$B$106)*(53&lt;=Projects!$W$2:$W$45+$B$17)*$B$107)*((Projects!$B$2:$B$45&gt;=$B$12)*$B$9+(Projects!$B$2:$B$45&lt;$B$12)*(Projects!$B$2:$B$45&gt;=$B$13)*$B$10+(Projects!$B$2:$B$45&lt;$B$13)*$B$11))</f>
        <v>0.5</v>
      </c>
      <c r="BF40" s="386" t="n">
        <f aca="false">SUMPRODUCT((Projects!$G$2:$G$45="Yes")*(54&gt;=Projects!$C$2:$C$45-$B$16)*((54&lt;=Projects!$W$2:$W$45-$B$106)*1+(54&gt;Projects!$W$2:$W$45-$B$106)*(54&lt;=Projects!$W$2:$W$45+$B$17)*$B$107)*((Projects!$B$2:$B$45&gt;=$B$12)*$B$9+(Projects!$B$2:$B$45&lt;$B$12)*(Projects!$B$2:$B$45&gt;=$B$13)*$B$10+(Projects!$B$2:$B$45&lt;$B$13)*$B$11))</f>
        <v>0.25</v>
      </c>
      <c r="BG40" s="386" t="n">
        <f aca="false">SUMPRODUCT((Projects!$G$2:$G$45="Yes")*(55&gt;=Projects!$C$2:$C$45-$B$16)*((55&lt;=Projects!$W$2:$W$45-$B$106)*1+(55&gt;Projects!$W$2:$W$45-$B$106)*(55&lt;=Projects!$W$2:$W$45+$B$17)*$B$107)*((Projects!$B$2:$B$45&gt;=$B$12)*$B$9+(Projects!$B$2:$B$45&lt;$B$12)*(Projects!$B$2:$B$45&gt;=$B$13)*$B$10+(Projects!$B$2:$B$45&lt;$B$13)*$B$11))</f>
        <v>0.25</v>
      </c>
      <c r="BH40" s="386" t="n">
        <f aca="false">SUMPRODUCT((Projects!$G$2:$G$45="Yes")*(56&gt;=Projects!$C$2:$C$45-$B$16)*((56&lt;=Projects!$W$2:$W$45-$B$106)*1+(56&gt;Projects!$W$2:$W$45-$B$106)*(56&lt;=Projects!$W$2:$W$45+$B$17)*$B$107)*((Projects!$B$2:$B$45&gt;=$B$12)*$B$9+(Projects!$B$2:$B$45&lt;$B$12)*(Projects!$B$2:$B$45&gt;=$B$13)*$B$10+(Projects!$B$2:$B$45&lt;$B$13)*$B$11))</f>
        <v>0.25</v>
      </c>
      <c r="BI40" s="386" t="n">
        <f aca="false">SUMPRODUCT((Projects!$G$2:$G$45="Yes")*(57&gt;=Projects!$C$2:$C$45-$B$16)*((57&lt;=Projects!$W$2:$W$45-$B$106)*1+(57&gt;Projects!$W$2:$W$45-$B$106)*(57&lt;=Projects!$W$2:$W$45+$B$17)*$B$107)*((Projects!$B$2:$B$45&gt;=$B$12)*$B$9+(Projects!$B$2:$B$45&lt;$B$12)*(Projects!$B$2:$B$45&gt;=$B$13)*$B$10+(Projects!$B$2:$B$45&lt;$B$13)*$B$11))</f>
        <v>0.25</v>
      </c>
      <c r="BJ40" s="386" t="n">
        <f aca="false">SUMPRODUCT((Projects!$G$2:$G$45="Yes")*(58&gt;=Projects!$C$2:$C$45-$B$16)*((58&lt;=Projects!$W$2:$W$45-$B$106)*1+(58&gt;Projects!$W$2:$W$45-$B$106)*(58&lt;=Projects!$W$2:$W$45+$B$17)*$B$107)*((Projects!$B$2:$B$45&gt;=$B$12)*$B$9+(Projects!$B$2:$B$45&lt;$B$12)*(Projects!$B$2:$B$45&gt;=$B$13)*$B$10+(Projects!$B$2:$B$45&lt;$B$13)*$B$11))</f>
        <v>0</v>
      </c>
      <c r="BK40" s="386" t="n">
        <f aca="false">SUMPRODUCT((Projects!$G$2:$G$45="Yes")*(59&gt;=Projects!$C$2:$C$45-$B$16)*((59&lt;=Projects!$W$2:$W$45-$B$106)*1+(59&gt;Projects!$W$2:$W$45-$B$106)*(59&lt;=Projects!$W$2:$W$45+$B$17)*$B$107)*((Projects!$B$2:$B$45&gt;=$B$12)*$B$9+(Projects!$B$2:$B$45&lt;$B$12)*(Projects!$B$2:$B$45&gt;=$B$13)*$B$10+(Projects!$B$2:$B$45&lt;$B$13)*$B$11))</f>
        <v>0</v>
      </c>
      <c r="BL40" s="386" t="n">
        <f aca="false">SUMPRODUCT((Projects!$G$2:$G$45="Yes")*(60&gt;=Projects!$C$2:$C$45-$B$16)*((60&lt;=Projects!$W$2:$W$45-$B$106)*1+(60&gt;Projects!$W$2:$W$45-$B$106)*(60&lt;=Projects!$W$2:$W$45+$B$17)*$B$107)*((Projects!$B$2:$B$45&gt;=$B$12)*$B$9+(Projects!$B$2:$B$45&lt;$B$12)*(Projects!$B$2:$B$45&gt;=$B$13)*$B$10+(Projects!$B$2:$B$45&lt;$B$13)*$B$11))</f>
        <v>0</v>
      </c>
      <c r="BM40" s="386" t="n">
        <f aca="false">SUMPRODUCT((Projects!$G$2:$G$45="Yes")*(61&gt;=Projects!$C$2:$C$45-$B$16)*((61&lt;=Projects!$W$2:$W$45-$B$106)*1+(61&gt;Projects!$W$2:$W$45-$B$106)*(61&lt;=Projects!$W$2:$W$45+$B$17)*$B$107)*((Projects!$B$2:$B$45&gt;=$B$12)*$B$9+(Projects!$B$2:$B$45&lt;$B$12)*(Projects!$B$2:$B$45&gt;=$B$13)*$B$10+(Projects!$B$2:$B$45&lt;$B$13)*$B$11))</f>
        <v>0</v>
      </c>
      <c r="BN40" s="386" t="n">
        <f aca="false">SUMPRODUCT((Projects!$G$2:$G$45="Yes")*(62&gt;=Projects!$C$2:$C$45-$B$16)*((62&lt;=Projects!$W$2:$W$45-$B$106)*1+(62&gt;Projects!$W$2:$W$45-$B$106)*(62&lt;=Projects!$W$2:$W$45+$B$17)*$B$107)*((Projects!$B$2:$B$45&gt;=$B$12)*$B$9+(Projects!$B$2:$B$45&lt;$B$12)*(Projects!$B$2:$B$45&gt;=$B$13)*$B$10+(Projects!$B$2:$B$45&lt;$B$13)*$B$11))</f>
        <v>0</v>
      </c>
      <c r="BO40" s="386" t="n">
        <f aca="false">SUMPRODUCT((Projects!$G$2:$G$45="Yes")*(63&gt;=Projects!$C$2:$C$45-$B$16)*((63&lt;=Projects!$W$2:$W$45-$B$106)*1+(63&gt;Projects!$W$2:$W$45-$B$106)*(63&lt;=Projects!$W$2:$W$45+$B$17)*$B$107)*((Projects!$B$2:$B$45&gt;=$B$12)*$B$9+(Projects!$B$2:$B$45&lt;$B$12)*(Projects!$B$2:$B$45&gt;=$B$13)*$B$10+(Projects!$B$2:$B$45&lt;$B$13)*$B$11))</f>
        <v>0</v>
      </c>
      <c r="BP40" s="386" t="n">
        <f aca="false">SUMPRODUCT((Projects!$G$2:$G$45="Yes")*(64&gt;=Projects!$C$2:$C$45-$B$16)*((64&lt;=Projects!$W$2:$W$45-$B$106)*1+(64&gt;Projects!$W$2:$W$45-$B$106)*(64&lt;=Projects!$W$2:$W$45+$B$17)*$B$107)*((Projects!$B$2:$B$45&gt;=$B$12)*$B$9+(Projects!$B$2:$B$45&lt;$B$12)*(Projects!$B$2:$B$45&gt;=$B$13)*$B$10+(Projects!$B$2:$B$45&lt;$B$13)*$B$11))</f>
        <v>0</v>
      </c>
      <c r="BQ40" s="386" t="n">
        <f aca="false">SUMPRODUCT((Projects!$G$2:$G$45="Yes")*(65&gt;=Projects!$C$2:$C$45-$B$16)*((65&lt;=Projects!$W$2:$W$45-$B$106)*1+(65&gt;Projects!$W$2:$W$45-$B$106)*(65&lt;=Projects!$W$2:$W$45+$B$17)*$B$107)*((Projects!$B$2:$B$45&gt;=$B$12)*$B$9+(Projects!$B$2:$B$45&lt;$B$12)*(Projects!$B$2:$B$45&gt;=$B$13)*$B$10+(Projects!$B$2:$B$45&lt;$B$13)*$B$11))</f>
        <v>0</v>
      </c>
      <c r="BR40" s="386" t="n">
        <f aca="false">SUMPRODUCT((Projects!$G$2:$G$45="Yes")*(66&gt;=Projects!$C$2:$C$45-$B$16)*((66&lt;=Projects!$W$2:$W$45-$B$106)*1+(66&gt;Projects!$W$2:$W$45-$B$106)*(66&lt;=Projects!$W$2:$W$45+$B$17)*$B$107)*((Projects!$B$2:$B$45&gt;=$B$12)*$B$9+(Projects!$B$2:$B$45&lt;$B$12)*(Projects!$B$2:$B$45&gt;=$B$13)*$B$10+(Projects!$B$2:$B$45&lt;$B$13)*$B$11))</f>
        <v>0</v>
      </c>
      <c r="BS40" s="386" t="n">
        <f aca="false">SUMPRODUCT((Projects!$G$2:$G$45="Yes")*(67&gt;=Projects!$C$2:$C$45-$B$16)*((67&lt;=Projects!$W$2:$W$45-$B$106)*1+(67&gt;Projects!$W$2:$W$45-$B$106)*(67&lt;=Projects!$W$2:$W$45+$B$17)*$B$107)*((Projects!$B$2:$B$45&gt;=$B$12)*$B$9+(Projects!$B$2:$B$45&lt;$B$12)*(Projects!$B$2:$B$45&gt;=$B$13)*$B$10+(Projects!$B$2:$B$45&lt;$B$13)*$B$11))</f>
        <v>0</v>
      </c>
      <c r="BT40" s="386" t="n">
        <f aca="false">SUMPRODUCT((Projects!$G$2:$G$45="Yes")*(68&gt;=Projects!$C$2:$C$45-$B$16)*((68&lt;=Projects!$W$2:$W$45-$B$106)*1+(68&gt;Projects!$W$2:$W$45-$B$106)*(68&lt;=Projects!$W$2:$W$45+$B$17)*$B$107)*((Projects!$B$2:$B$45&gt;=$B$12)*$B$9+(Projects!$B$2:$B$45&lt;$B$12)*(Projects!$B$2:$B$45&gt;=$B$13)*$B$10+(Projects!$B$2:$B$45&lt;$B$13)*$B$11))</f>
        <v>0</v>
      </c>
      <c r="BU40" s="386" t="n">
        <f aca="false">SUMPRODUCT((Projects!$G$2:$G$45="Yes")*(69&gt;=Projects!$C$2:$C$45-$B$16)*((69&lt;=Projects!$W$2:$W$45-$B$106)*1+(69&gt;Projects!$W$2:$W$45-$B$106)*(69&lt;=Projects!$W$2:$W$45+$B$17)*$B$107)*((Projects!$B$2:$B$45&gt;=$B$12)*$B$9+(Projects!$B$2:$B$45&lt;$B$12)*(Projects!$B$2:$B$45&gt;=$B$13)*$B$10+(Projects!$B$2:$B$45&lt;$B$13)*$B$11))</f>
        <v>0</v>
      </c>
      <c r="BV40" s="386" t="n">
        <f aca="false">SUMPRODUCT((Projects!$G$2:$G$45="Yes")*(70&gt;=Projects!$C$2:$C$45-$B$16)*((70&lt;=Projects!$W$2:$W$45-$B$106)*1+(70&gt;Projects!$W$2:$W$45-$B$106)*(70&lt;=Projects!$W$2:$W$45+$B$17)*$B$107)*((Projects!$B$2:$B$45&gt;=$B$12)*$B$9+(Projects!$B$2:$B$45&lt;$B$12)*(Projects!$B$2:$B$45&gt;=$B$13)*$B$10+(Projects!$B$2:$B$45&lt;$B$13)*$B$11))</f>
        <v>0</v>
      </c>
      <c r="BW40" s="386" t="n">
        <f aca="false">SUMPRODUCT((Projects!$G$2:$G$45="Yes")*(71&gt;=Projects!$C$2:$C$45-$B$16)*((71&lt;=Projects!$W$2:$W$45-$B$106)*1+(71&gt;Projects!$W$2:$W$45-$B$106)*(71&lt;=Projects!$W$2:$W$45+$B$17)*$B$107)*((Projects!$B$2:$B$45&gt;=$B$12)*$B$9+(Projects!$B$2:$B$45&lt;$B$12)*(Projects!$B$2:$B$45&gt;=$B$13)*$B$10+(Projects!$B$2:$B$45&lt;$B$13)*$B$11))</f>
        <v>0</v>
      </c>
      <c r="BX40" s="386" t="n">
        <f aca="false">SUMPRODUCT((Projects!$G$2:$G$45="Yes")*(72&gt;=Projects!$C$2:$C$45-$B$16)*((72&lt;=Projects!$W$2:$W$45-$B$106)*1+(72&gt;Projects!$W$2:$W$45-$B$106)*(72&lt;=Projects!$W$2:$W$45+$B$17)*$B$107)*((Projects!$B$2:$B$45&gt;=$B$12)*$B$9+(Projects!$B$2:$B$45&lt;$B$12)*(Projects!$B$2:$B$45&gt;=$B$13)*$B$10+(Projects!$B$2:$B$45&lt;$B$13)*$B$11))</f>
        <v>0</v>
      </c>
      <c r="BY40" s="386" t="n">
        <f aca="false">SUMPRODUCT((Projects!$G$2:$G$45="Yes")*(73&gt;=Projects!$C$2:$C$45-$B$16)*((73&lt;=Projects!$W$2:$W$45-$B$106)*1+(73&gt;Projects!$W$2:$W$45-$B$106)*(73&lt;=Projects!$W$2:$W$45+$B$17)*$B$107)*((Projects!$B$2:$B$45&gt;=$B$12)*$B$9+(Projects!$B$2:$B$45&lt;$B$12)*(Projects!$B$2:$B$45&gt;=$B$13)*$B$10+(Projects!$B$2:$B$45&lt;$B$13)*$B$11))</f>
        <v>0</v>
      </c>
      <c r="BZ40" s="386" t="n">
        <f aca="false">SUMPRODUCT((Projects!$G$2:$G$45="Yes")*(74&gt;=Projects!$C$2:$C$45-$B$16)*((74&lt;=Projects!$W$2:$W$45-$B$106)*1+(74&gt;Projects!$W$2:$W$45-$B$106)*(74&lt;=Projects!$W$2:$W$45+$B$17)*$B$107)*((Projects!$B$2:$B$45&gt;=$B$12)*$B$9+(Projects!$B$2:$B$45&lt;$B$12)*(Projects!$B$2:$B$45&gt;=$B$13)*$B$10+(Projects!$B$2:$B$45&lt;$B$13)*$B$11))</f>
        <v>0</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1379</v>
      </c>
      <c r="B42" s="212"/>
      <c r="C42" s="212"/>
      <c r="D42" s="212"/>
      <c r="E42" s="212"/>
      <c r="F42" s="212"/>
    </row>
    <row r="43" customFormat="false" ht="13.5" hidden="false" customHeight="true" outlineLevel="0" collapsed="false">
      <c r="A43" s="110" t="s">
        <v>1380</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1381</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1382</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1383</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1384</v>
      </c>
      <c r="B48" s="212"/>
      <c r="C48" s="212"/>
      <c r="D48" s="212"/>
      <c r="E48" s="212"/>
      <c r="F48" s="212"/>
    </row>
    <row r="49" customFormat="false" ht="13.5" hidden="false" customHeight="true" outlineLevel="0" collapsed="false">
      <c r="A49" s="110" t="s">
        <v>1385</v>
      </c>
      <c r="B49" s="213" t="n">
        <f aca="false">$B$26</f>
        <v>160000</v>
      </c>
      <c r="E49" s="387" t="n">
        <f aca="false">IF(1&lt;5,0,IF(MAX(E38:E38)&gt;E43+0+$B$18,1,0))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0</v>
      </c>
      <c r="AO49" s="387" t="n">
        <f aca="false">IF(37&lt;5,0,IF(MAX(AJ38:AO38)&gt;AO43+0+$B$18,1,0))</f>
        <v>0</v>
      </c>
      <c r="AP49" s="387" t="n">
        <f aca="false">IF(38&lt;5,0,IF(MAX(AK38:AP38)&gt;AP43+0+$B$18,1,0))</f>
        <v>0</v>
      </c>
      <c r="AQ49" s="387" t="n">
        <f aca="false">IF(39&lt;5,0,IF(MAX(AL38:AQ38)&gt;AQ43+0+$B$18,1,0))</f>
        <v>0</v>
      </c>
      <c r="AR49" s="387" t="n">
        <f aca="false">IF(40&lt;5,0,IF(MAX(AM38:AR38)&gt;AR43+0+$B$18,1,0))</f>
        <v>0</v>
      </c>
      <c r="AS49" s="387" t="n">
        <f aca="false">IF(41&lt;5,0,IF(MAX(AN38:AS38)&gt;AS43+0+$B$18,1,0))</f>
        <v>0</v>
      </c>
      <c r="AT49" s="387" t="n">
        <f aca="false">IF(42&lt;5,0,IF(MAX(AO38:AT38)&gt;AT43+0+$B$18,1,0))</f>
        <v>0</v>
      </c>
      <c r="AU49" s="387" t="n">
        <f aca="false">IF(43&lt;5,0,IF(MAX(AP38:AU38)&gt;AU43+0+$B$18,1,0))</f>
        <v>0</v>
      </c>
      <c r="AV49" s="387" t="n">
        <f aca="false">IF(44&lt;5,0,IF(MAX(AQ38:AV38)&gt;AV43+0+$B$18,1,0))</f>
        <v>0</v>
      </c>
      <c r="AW49" s="387" t="n">
        <f aca="false">IF(45&lt;5,0,IF(MAX(AR38:AW38)&gt;AW43+0+$B$18,1,0))</f>
        <v>0</v>
      </c>
      <c r="AX49" s="387" t="n">
        <f aca="false">IF(46&lt;5,0,IF(MAX(AS38:AX38)&gt;AX43+0+$B$18,1,0))</f>
        <v>0</v>
      </c>
      <c r="AY49" s="387" t="n">
        <f aca="false">IF(47&lt;5,0,IF(MAX(AT38:AY38)&gt;AY43+0+$B$18,1,0))</f>
        <v>0</v>
      </c>
      <c r="AZ49" s="387" t="n">
        <f aca="false">IF(48&lt;5,0,IF(MAX(AU38:AZ38)&gt;AZ43+0+$B$18,1,0))</f>
        <v>0</v>
      </c>
      <c r="BA49" s="387" t="n">
        <f aca="false">IF(49&lt;5,0,IF(MAX(AV38:BA38)&gt;BA43+0+$B$18,1,0))</f>
        <v>0</v>
      </c>
      <c r="BB49" s="387" t="n">
        <f aca="false">IF(50&lt;5,0,IF(MAX(AW38:BB38)&gt;BB43+0+$B$18,1,0))</f>
        <v>0</v>
      </c>
      <c r="BC49" s="387" t="n">
        <f aca="false">IF(51&lt;5,0,IF(MAX(AX38:BC38)&gt;BC43+0+$B$18,1,0))</f>
        <v>0</v>
      </c>
      <c r="BD49" s="387" t="n">
        <f aca="false">IF(52&lt;5,0,IF(MAX(AY38:BD38)&gt;BD43+0+$B$18,1,0))</f>
        <v>0</v>
      </c>
      <c r="BE49" s="387" t="n">
        <f aca="false">IF(53&lt;5,0,IF(MAX(AZ38:BE38)&gt;BE43+0+$B$18,1,0))</f>
        <v>0</v>
      </c>
      <c r="BF49" s="387" t="n">
        <f aca="false">IF(54&lt;5,0,IF(MAX(BA38:BF38)&gt;BF43+0+$B$18,1,0))</f>
        <v>0</v>
      </c>
      <c r="BG49" s="387" t="n">
        <f aca="false">IF(55&lt;5,0,IF(MAX(BB38:BG38)&gt;BG43+0+$B$18,1,0))</f>
        <v>0</v>
      </c>
      <c r="BH49" s="387" t="n">
        <f aca="false">IF(56&lt;5,0,IF(MAX(BC38:BH38)&gt;BH43+0+$B$18,1,0))</f>
        <v>0</v>
      </c>
      <c r="BI49" s="387" t="n">
        <f aca="false">IF(57&lt;5,0,IF(MAX(BD38:BI38)&gt;BI43+0+$B$18,1,0))</f>
        <v>0</v>
      </c>
      <c r="BJ49" s="387" t="n">
        <f aca="false">IF(58&lt;5,0,IF(MAX(BE38:BJ38)&gt;BJ43+0+$B$18,1,0))</f>
        <v>0</v>
      </c>
      <c r="BK49" s="387" t="n">
        <f aca="false">IF(59&lt;5,0,IF(MAX(BF38:BK38)&gt;BK43+0+$B$18,1,0))</f>
        <v>0</v>
      </c>
      <c r="BL49" s="387" t="n">
        <f aca="false">IF(60&lt;5,0,IF(MAX(BG38:BL38)&gt;BL43+0+$B$18,1,0))</f>
        <v>0</v>
      </c>
      <c r="BM49" s="387" t="n">
        <f aca="false">IF(61&lt;5,0,IF(MAX(BH38:BM38)&gt;BM43+0+$B$18,1,0))</f>
        <v>0</v>
      </c>
      <c r="BN49" s="387" t="n">
        <f aca="false">IF(62&lt;5,0,IF(MAX(BI38:BN38)&gt;BN43+0+$B$18,1,0))</f>
        <v>0</v>
      </c>
      <c r="BO49" s="387" t="n">
        <f aca="false">IF(63&lt;5,0,IF(MAX(BJ38:BO38)&gt;BO43+0+$B$18,1,0))</f>
        <v>0</v>
      </c>
      <c r="BP49" s="387" t="n">
        <f aca="false">IF(64&lt;5,0,IF(MAX(BK38:BP38)&gt;BP43+0+$B$18,1,0))</f>
        <v>0</v>
      </c>
      <c r="BQ49" s="387" t="n">
        <f aca="false">IF(65&lt;5,0,IF(MAX(BL38:BQ38)&gt;BQ43+0+$B$18,1,0))</f>
        <v>0</v>
      </c>
      <c r="BR49" s="387" t="n">
        <f aca="false">IF(66&lt;5,0,IF(MAX(BM38:BR38)&gt;BR43+0+$B$18,1,0))</f>
        <v>0</v>
      </c>
      <c r="BS49" s="387" t="n">
        <f aca="false">IF(67&lt;5,0,IF(MAX(BN38:BS38)&gt;BS43+0+$B$18,1,0))</f>
        <v>0</v>
      </c>
      <c r="BT49" s="387" t="n">
        <f aca="false">IF(68&lt;5,0,IF(MAX(BO38:BT38)&gt;BT43+0+$B$18,1,0))</f>
        <v>0</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1386</v>
      </c>
      <c r="B50" s="213" t="n">
        <f aca="false">$B$26</f>
        <v>160000</v>
      </c>
      <c r="E50" s="387" t="n">
        <f aca="false">IF(1&lt;5,0,IF(MAX(E38:E38)&gt;E43+1+$B$18,1,0))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0</v>
      </c>
      <c r="AN50" s="387" t="n">
        <f aca="false">IF(36&lt;5,0,IF(MAX(AI38:AN38)&gt;AN43+1+$B$18,1,0))</f>
        <v>0</v>
      </c>
      <c r="AO50" s="387" t="n">
        <f aca="false">IF(37&lt;5,0,IF(MAX(AJ38:AO38)&gt;AO43+1+$B$18,1,0))</f>
        <v>0</v>
      </c>
      <c r="AP50" s="387" t="n">
        <f aca="false">IF(38&lt;5,0,IF(MAX(AK38:AP38)&gt;AP43+1+$B$18,1,0))</f>
        <v>0</v>
      </c>
      <c r="AQ50" s="387" t="n">
        <f aca="false">IF(39&lt;5,0,IF(MAX(AL38:AQ38)&gt;AQ43+1+$B$18,1,0))</f>
        <v>0</v>
      </c>
      <c r="AR50" s="387" t="n">
        <f aca="false">IF(40&lt;5,0,IF(MAX(AM38:AR38)&gt;AR43+1+$B$18,1,0))</f>
        <v>0</v>
      </c>
      <c r="AS50" s="387" t="n">
        <f aca="false">IF(41&lt;5,0,IF(MAX(AN38:AS38)&gt;AS43+1+$B$18,1,0))</f>
        <v>0</v>
      </c>
      <c r="AT50" s="387" t="n">
        <f aca="false">IF(42&lt;5,0,IF(MAX(AO38:AT38)&gt;AT43+1+$B$18,1,0))</f>
        <v>0</v>
      </c>
      <c r="AU50" s="387" t="n">
        <f aca="false">IF(43&lt;5,0,IF(MAX(AP38:AU38)&gt;AU43+1+$B$18,1,0))</f>
        <v>0</v>
      </c>
      <c r="AV50" s="387" t="n">
        <f aca="false">IF(44&lt;5,0,IF(MAX(AQ38:AV38)&gt;AV43+1+$B$18,1,0))</f>
        <v>0</v>
      </c>
      <c r="AW50" s="387" t="n">
        <f aca="false">IF(45&lt;5,0,IF(MAX(AR38:AW38)&gt;AW43+1+$B$18,1,0))</f>
        <v>0</v>
      </c>
      <c r="AX50" s="387" t="n">
        <f aca="false">IF(46&lt;5,0,IF(MAX(AS38:AX38)&gt;AX43+1+$B$18,1,0))</f>
        <v>0</v>
      </c>
      <c r="AY50" s="387" t="n">
        <f aca="false">IF(47&lt;5,0,IF(MAX(AT38:AY38)&gt;AY43+1+$B$18,1,0))</f>
        <v>0</v>
      </c>
      <c r="AZ50" s="387" t="n">
        <f aca="false">IF(48&lt;5,0,IF(MAX(AU38:AZ38)&gt;AZ43+1+$B$18,1,0))</f>
        <v>0</v>
      </c>
      <c r="BA50" s="387" t="n">
        <f aca="false">IF(49&lt;5,0,IF(MAX(AV38:BA38)&gt;BA43+1+$B$18,1,0))</f>
        <v>0</v>
      </c>
      <c r="BB50" s="387" t="n">
        <f aca="false">IF(50&lt;5,0,IF(MAX(AW38:BB38)&gt;BB43+1+$B$18,1,0))</f>
        <v>0</v>
      </c>
      <c r="BC50" s="387" t="n">
        <f aca="false">IF(51&lt;5,0,IF(MAX(AX38:BC38)&gt;BC43+1+$B$18,1,0))</f>
        <v>0</v>
      </c>
      <c r="BD50" s="387" t="n">
        <f aca="false">IF(52&lt;5,0,IF(MAX(AY38:BD38)&gt;BD43+1+$B$18,1,0))</f>
        <v>0</v>
      </c>
      <c r="BE50" s="387" t="n">
        <f aca="false">IF(53&lt;5,0,IF(MAX(AZ38:BE38)&gt;BE43+1+$B$18,1,0))</f>
        <v>0</v>
      </c>
      <c r="BF50" s="387" t="n">
        <f aca="false">IF(54&lt;5,0,IF(MAX(BA38:BF38)&gt;BF43+1+$B$18,1,0))</f>
        <v>0</v>
      </c>
      <c r="BG50" s="387" t="n">
        <f aca="false">IF(55&lt;5,0,IF(MAX(BB38:BG38)&gt;BG43+1+$B$18,1,0))</f>
        <v>0</v>
      </c>
      <c r="BH50" s="387" t="n">
        <f aca="false">IF(56&lt;5,0,IF(MAX(BC38:BH38)&gt;BH43+1+$B$18,1,0))</f>
        <v>0</v>
      </c>
      <c r="BI50" s="387" t="n">
        <f aca="false">IF(57&lt;5,0,IF(MAX(BD38:BI38)&gt;BI43+1+$B$18,1,0))</f>
        <v>0</v>
      </c>
      <c r="BJ50" s="387" t="n">
        <f aca="false">IF(58&lt;5,0,IF(MAX(BE38:BJ38)&gt;BJ43+1+$B$18,1,0))</f>
        <v>0</v>
      </c>
      <c r="BK50" s="387" t="n">
        <f aca="false">IF(59&lt;5,0,IF(MAX(BF38:BK38)&gt;BK43+1+$B$18,1,0))</f>
        <v>0</v>
      </c>
      <c r="BL50" s="387" t="n">
        <f aca="false">IF(60&lt;5,0,IF(MAX(BG38:BL38)&gt;BL43+1+$B$18,1,0))</f>
        <v>0</v>
      </c>
      <c r="BM50" s="387" t="n">
        <f aca="false">IF(61&lt;5,0,IF(MAX(BH38:BM38)&gt;BM43+1+$B$18,1,0))</f>
        <v>0</v>
      </c>
      <c r="BN50" s="387" t="n">
        <f aca="false">IF(62&lt;5,0,IF(MAX(BI38:BN38)&gt;BN43+1+$B$18,1,0))</f>
        <v>0</v>
      </c>
      <c r="BO50" s="387" t="n">
        <f aca="false">IF(63&lt;5,0,IF(MAX(BJ38:BO38)&gt;BO43+1+$B$18,1,0))</f>
        <v>0</v>
      </c>
      <c r="BP50" s="387" t="n">
        <f aca="false">IF(64&lt;5,0,IF(MAX(BK38:BP38)&gt;BP43+1+$B$18,1,0))</f>
        <v>0</v>
      </c>
      <c r="BQ50" s="387" t="n">
        <f aca="false">IF(65&lt;5,0,IF(MAX(BL38:BQ38)&gt;BQ43+1+$B$18,1,0))</f>
        <v>0</v>
      </c>
      <c r="BR50" s="387" t="n">
        <f aca="false">IF(66&lt;5,0,IF(MAX(BM38:BR38)&gt;BR43+1+$B$18,1,0))</f>
        <v>0</v>
      </c>
      <c r="BS50" s="387" t="n">
        <f aca="false">IF(67&lt;5,0,IF(MAX(BN38:BS38)&gt;BS43+1+$B$18,1,0))</f>
        <v>0</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1387</v>
      </c>
      <c r="B51" s="213" t="n">
        <f aca="false">$B$26</f>
        <v>160000</v>
      </c>
      <c r="E51" s="387" t="n">
        <f aca="false">IF(1&lt;5,0,IF(MAX(E38:E38)&gt;E43+2+$B$18,1,0))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0</v>
      </c>
      <c r="AN51" s="387" t="n">
        <f aca="false">IF(36&lt;5,0,IF(MAX(AI38:AN38)&gt;AN43+2+$B$18,1,0))</f>
        <v>0</v>
      </c>
      <c r="AO51" s="387" t="n">
        <f aca="false">IF(37&lt;5,0,IF(MAX(AJ38:AO38)&gt;AO43+2+$B$18,1,0))</f>
        <v>0</v>
      </c>
      <c r="AP51" s="387" t="n">
        <f aca="false">IF(38&lt;5,0,IF(MAX(AK38:AP38)&gt;AP43+2+$B$18,1,0))</f>
        <v>0</v>
      </c>
      <c r="AQ51" s="387" t="n">
        <f aca="false">IF(39&lt;5,0,IF(MAX(AL38:AQ38)&gt;AQ43+2+$B$18,1,0))</f>
        <v>0</v>
      </c>
      <c r="AR51" s="387" t="n">
        <f aca="false">IF(40&lt;5,0,IF(MAX(AM38:AR38)&gt;AR43+2+$B$18,1,0))</f>
        <v>0</v>
      </c>
      <c r="AS51" s="387" t="n">
        <f aca="false">IF(41&lt;5,0,IF(MAX(AN38:AS38)&gt;AS43+2+$B$18,1,0))</f>
        <v>0</v>
      </c>
      <c r="AT51" s="387" t="n">
        <f aca="false">IF(42&lt;5,0,IF(MAX(AO38:AT38)&gt;AT43+2+$B$18,1,0))</f>
        <v>0</v>
      </c>
      <c r="AU51" s="387" t="n">
        <f aca="false">IF(43&lt;5,0,IF(MAX(AP38:AU38)&gt;AU43+2+$B$18,1,0))</f>
        <v>0</v>
      </c>
      <c r="AV51" s="387" t="n">
        <f aca="false">IF(44&lt;5,0,IF(MAX(AQ38:AV38)&gt;AV43+2+$B$18,1,0))</f>
        <v>0</v>
      </c>
      <c r="AW51" s="387" t="n">
        <f aca="false">IF(45&lt;5,0,IF(MAX(AR38:AW38)&gt;AW43+2+$B$18,1,0))</f>
        <v>0</v>
      </c>
      <c r="AX51" s="387" t="n">
        <f aca="false">IF(46&lt;5,0,IF(MAX(AS38:AX38)&gt;AX43+2+$B$18,1,0))</f>
        <v>0</v>
      </c>
      <c r="AY51" s="387" t="n">
        <f aca="false">IF(47&lt;5,0,IF(MAX(AT38:AY38)&gt;AY43+2+$B$18,1,0))</f>
        <v>0</v>
      </c>
      <c r="AZ51" s="387" t="n">
        <f aca="false">IF(48&lt;5,0,IF(MAX(AU38:AZ38)&gt;AZ43+2+$B$18,1,0))</f>
        <v>0</v>
      </c>
      <c r="BA51" s="387" t="n">
        <f aca="false">IF(49&lt;5,0,IF(MAX(AV38:BA38)&gt;BA43+2+$B$18,1,0))</f>
        <v>0</v>
      </c>
      <c r="BB51" s="387" t="n">
        <f aca="false">IF(50&lt;5,0,IF(MAX(AW38:BB38)&gt;BB43+2+$B$18,1,0))</f>
        <v>0</v>
      </c>
      <c r="BC51" s="387" t="n">
        <f aca="false">IF(51&lt;5,0,IF(MAX(AX38:BC38)&gt;BC43+2+$B$18,1,0))</f>
        <v>0</v>
      </c>
      <c r="BD51" s="387" t="n">
        <f aca="false">IF(52&lt;5,0,IF(MAX(AY38:BD38)&gt;BD43+2+$B$18,1,0))</f>
        <v>0</v>
      </c>
      <c r="BE51" s="387" t="n">
        <f aca="false">IF(53&lt;5,0,IF(MAX(AZ38:BE38)&gt;BE43+2+$B$18,1,0))</f>
        <v>0</v>
      </c>
      <c r="BF51" s="387" t="n">
        <f aca="false">IF(54&lt;5,0,IF(MAX(BA38:BF38)&gt;BF43+2+$B$18,1,0))</f>
        <v>0</v>
      </c>
      <c r="BG51" s="387" t="n">
        <f aca="false">IF(55&lt;5,0,IF(MAX(BB38:BG38)&gt;BG43+2+$B$18,1,0))</f>
        <v>0</v>
      </c>
      <c r="BH51" s="387" t="n">
        <f aca="false">IF(56&lt;5,0,IF(MAX(BC38:BH38)&gt;BH43+2+$B$18,1,0))</f>
        <v>0</v>
      </c>
      <c r="BI51" s="387" t="n">
        <f aca="false">IF(57&lt;5,0,IF(MAX(BD38:BI38)&gt;BI43+2+$B$18,1,0))</f>
        <v>0</v>
      </c>
      <c r="BJ51" s="387" t="n">
        <f aca="false">IF(58&lt;5,0,IF(MAX(BE38:BJ38)&gt;BJ43+2+$B$18,1,0))</f>
        <v>0</v>
      </c>
      <c r="BK51" s="387" t="n">
        <f aca="false">IF(59&lt;5,0,IF(MAX(BF38:BK38)&gt;BK43+2+$B$18,1,0))</f>
        <v>0</v>
      </c>
      <c r="BL51" s="387" t="n">
        <f aca="false">IF(60&lt;5,0,IF(MAX(BG38:BL38)&gt;BL43+2+$B$18,1,0))</f>
        <v>0</v>
      </c>
      <c r="BM51" s="387" t="n">
        <f aca="false">IF(61&lt;5,0,IF(MAX(BH38:BM38)&gt;BM43+2+$B$18,1,0))</f>
        <v>0</v>
      </c>
      <c r="BN51" s="387" t="n">
        <f aca="false">IF(62&lt;5,0,IF(MAX(BI38:BN38)&gt;BN43+2+$B$18,1,0))</f>
        <v>0</v>
      </c>
      <c r="BO51" s="387" t="n">
        <f aca="false">IF(63&lt;5,0,IF(MAX(BJ38:BO38)&gt;BO43+2+$B$18,1,0))</f>
        <v>0</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1388</v>
      </c>
      <c r="B52" s="213" t="n">
        <f aca="false">$B$26</f>
        <v>160000</v>
      </c>
      <c r="E52" s="387" t="n">
        <f aca="false">IF(1&lt;5,0,IF(MAX(E38:E38)&gt;E43+3+$B$18,1,0))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0</v>
      </c>
      <c r="AI52" s="387" t="n">
        <f aca="false">IF(31&lt;5,0,IF(MAX(AD38:AI38)&gt;AI43+3+$B$18,1,0))</f>
        <v>0</v>
      </c>
      <c r="AJ52" s="387" t="n">
        <f aca="false">IF(32&lt;5,0,IF(MAX(AE38:AJ38)&gt;AJ43+3+$B$18,1,0))</f>
        <v>0</v>
      </c>
      <c r="AK52" s="387" t="n">
        <f aca="false">IF(33&lt;5,0,IF(MAX(AF38:AK38)&gt;AK43+3+$B$18,1,0))</f>
        <v>0</v>
      </c>
      <c r="AL52" s="387" t="n">
        <f aca="false">IF(34&lt;5,0,IF(MAX(AG38:AL38)&gt;AL43+3+$B$18,1,0))</f>
        <v>0</v>
      </c>
      <c r="AM52" s="387" t="n">
        <f aca="false">IF(35&lt;5,0,IF(MAX(AH38:AM38)&gt;AM43+3+$B$18,1,0))</f>
        <v>0</v>
      </c>
      <c r="AN52" s="387" t="n">
        <f aca="false">IF(36&lt;5,0,IF(MAX(AI38:AN38)&gt;AN43+3+$B$18,1,0))</f>
        <v>0</v>
      </c>
      <c r="AO52" s="387" t="n">
        <f aca="false">IF(37&lt;5,0,IF(MAX(AJ38:AO38)&gt;AO43+3+$B$18,1,0))</f>
        <v>0</v>
      </c>
      <c r="AP52" s="387" t="n">
        <f aca="false">IF(38&lt;5,0,IF(MAX(AK38:AP38)&gt;AP43+3+$B$18,1,0))</f>
        <v>0</v>
      </c>
      <c r="AQ52" s="387" t="n">
        <f aca="false">IF(39&lt;5,0,IF(MAX(AL38:AQ38)&gt;AQ43+3+$B$18,1,0))</f>
        <v>0</v>
      </c>
      <c r="AR52" s="387" t="n">
        <f aca="false">IF(40&lt;5,0,IF(MAX(AM38:AR38)&gt;AR43+3+$B$18,1,0))</f>
        <v>0</v>
      </c>
      <c r="AS52" s="387" t="n">
        <f aca="false">IF(41&lt;5,0,IF(MAX(AN38:AS38)&gt;AS43+3+$B$18,1,0))</f>
        <v>0</v>
      </c>
      <c r="AT52" s="387" t="n">
        <f aca="false">IF(42&lt;5,0,IF(MAX(AO38:AT38)&gt;AT43+3+$B$18,1,0))</f>
        <v>0</v>
      </c>
      <c r="AU52" s="387" t="n">
        <f aca="false">IF(43&lt;5,0,IF(MAX(AP38:AU38)&gt;AU43+3+$B$18,1,0))</f>
        <v>0</v>
      </c>
      <c r="AV52" s="387" t="n">
        <f aca="false">IF(44&lt;5,0,IF(MAX(AQ38:AV38)&gt;AV43+3+$B$18,1,0))</f>
        <v>0</v>
      </c>
      <c r="AW52" s="387" t="n">
        <f aca="false">IF(45&lt;5,0,IF(MAX(AR38:AW38)&gt;AW43+3+$B$18,1,0))</f>
        <v>0</v>
      </c>
      <c r="AX52" s="387" t="n">
        <f aca="false">IF(46&lt;5,0,IF(MAX(AS38:AX38)&gt;AX43+3+$B$18,1,0))</f>
        <v>0</v>
      </c>
      <c r="AY52" s="387" t="n">
        <f aca="false">IF(47&lt;5,0,IF(MAX(AT38:AY38)&gt;AY43+3+$B$18,1,0))</f>
        <v>0</v>
      </c>
      <c r="AZ52" s="387" t="n">
        <f aca="false">IF(48&lt;5,0,IF(MAX(AU38:AZ38)&gt;AZ43+3+$B$18,1,0))</f>
        <v>0</v>
      </c>
      <c r="BA52" s="387" t="n">
        <f aca="false">IF(49&lt;5,0,IF(MAX(AV38:BA38)&gt;BA43+3+$B$18,1,0))</f>
        <v>0</v>
      </c>
      <c r="BB52" s="387" t="n">
        <f aca="false">IF(50&lt;5,0,IF(MAX(AW38:BB38)&gt;BB43+3+$B$18,1,0))</f>
        <v>0</v>
      </c>
      <c r="BC52" s="387" t="n">
        <f aca="false">IF(51&lt;5,0,IF(MAX(AX38:BC38)&gt;BC43+3+$B$18,1,0))</f>
        <v>0</v>
      </c>
      <c r="BD52" s="387" t="n">
        <f aca="false">IF(52&lt;5,0,IF(MAX(AY38:BD38)&gt;BD43+3+$B$18,1,0))</f>
        <v>0</v>
      </c>
      <c r="BE52" s="387" t="n">
        <f aca="false">IF(53&lt;5,0,IF(MAX(AZ38:BE38)&gt;BE43+3+$B$18,1,0))</f>
        <v>0</v>
      </c>
      <c r="BF52" s="387" t="n">
        <f aca="false">IF(54&lt;5,0,IF(MAX(BA38:BF38)&gt;BF43+3+$B$18,1,0))</f>
        <v>0</v>
      </c>
      <c r="BG52" s="387" t="n">
        <f aca="false">IF(55&lt;5,0,IF(MAX(BB38:BG38)&gt;BG43+3+$B$18,1,0))</f>
        <v>0</v>
      </c>
      <c r="BH52" s="387" t="n">
        <f aca="false">IF(56&lt;5,0,IF(MAX(BC38:BH38)&gt;BH43+3+$B$18,1,0))</f>
        <v>0</v>
      </c>
      <c r="BI52" s="387" t="n">
        <f aca="false">IF(57&lt;5,0,IF(MAX(BD38:BI38)&gt;BI43+3+$B$18,1,0))</f>
        <v>0</v>
      </c>
      <c r="BJ52" s="387" t="n">
        <f aca="false">IF(58&lt;5,0,IF(MAX(BE38:BJ38)&gt;BJ43+3+$B$18,1,0))</f>
        <v>0</v>
      </c>
      <c r="BK52" s="387" t="n">
        <f aca="false">IF(59&lt;5,0,IF(MAX(BF38:BK38)&gt;BK43+3+$B$18,1,0))</f>
        <v>0</v>
      </c>
      <c r="BL52" s="387" t="n">
        <f aca="false">IF(60&lt;5,0,IF(MAX(BG38:BL38)&gt;BL43+3+$B$18,1,0))</f>
        <v>0</v>
      </c>
      <c r="BM52" s="387" t="n">
        <f aca="false">IF(61&lt;5,0,IF(MAX(BH38:BM38)&gt;BM43+3+$B$18,1,0))</f>
        <v>0</v>
      </c>
      <c r="BN52" s="387" t="n">
        <f aca="false">IF(62&lt;5,0,IF(MAX(BI38:BN38)&gt;BN43+3+$B$18,1,0))</f>
        <v>0</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1389</v>
      </c>
      <c r="B53" s="213" t="n">
        <f aca="false">$B$26</f>
        <v>160000</v>
      </c>
      <c r="E53" s="387" t="n">
        <f aca="false">IF(1&lt;5,0,IF(MAX(E38:E38)&gt;E43+4+$B$18,1,0))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0</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0</v>
      </c>
      <c r="AE53" s="387" t="n">
        <f aca="false">IF(27&lt;5,0,IF(MAX(Z38:AE38)&gt;AE43+4+$B$18,1,0))</f>
        <v>0</v>
      </c>
      <c r="AF53" s="387" t="n">
        <f aca="false">IF(28&lt;5,0,IF(MAX(AA38:AF38)&gt;AF43+4+$B$18,1,0))</f>
        <v>0</v>
      </c>
      <c r="AG53" s="387" t="n">
        <f aca="false">IF(29&lt;5,0,IF(MAX(AB38:AG38)&gt;AG43+4+$B$18,1,0))</f>
        <v>0</v>
      </c>
      <c r="AH53" s="387" t="n">
        <f aca="false">IF(30&lt;5,0,IF(MAX(AC38:AH38)&gt;AH43+4+$B$18,1,0))</f>
        <v>0</v>
      </c>
      <c r="AI53" s="387" t="n">
        <f aca="false">IF(31&lt;5,0,IF(MAX(AD38:AI38)&gt;AI43+4+$B$18,1,0))</f>
        <v>0</v>
      </c>
      <c r="AJ53" s="387" t="n">
        <f aca="false">IF(32&lt;5,0,IF(MAX(AE38:AJ38)&gt;AJ43+4+$B$18,1,0))</f>
        <v>0</v>
      </c>
      <c r="AK53" s="387" t="n">
        <f aca="false">IF(33&lt;5,0,IF(MAX(AF38:AK38)&gt;AK43+4+$B$18,1,0))</f>
        <v>0</v>
      </c>
      <c r="AL53" s="387" t="n">
        <f aca="false">IF(34&lt;5,0,IF(MAX(AG38:AL38)&gt;AL43+4+$B$18,1,0))</f>
        <v>0</v>
      </c>
      <c r="AM53" s="387" t="n">
        <f aca="false">IF(35&lt;5,0,IF(MAX(AH38:AM38)&gt;AM43+4+$B$18,1,0))</f>
        <v>0</v>
      </c>
      <c r="AN53" s="387" t="n">
        <f aca="false">IF(36&lt;5,0,IF(MAX(AI38:AN38)&gt;AN43+4+$B$18,1,0))</f>
        <v>0</v>
      </c>
      <c r="AO53" s="387" t="n">
        <f aca="false">IF(37&lt;5,0,IF(MAX(AJ38:AO38)&gt;AO43+4+$B$18,1,0))</f>
        <v>0</v>
      </c>
      <c r="AP53" s="387" t="n">
        <f aca="false">IF(38&lt;5,0,IF(MAX(AK38:AP38)&gt;AP43+4+$B$18,1,0))</f>
        <v>0</v>
      </c>
      <c r="AQ53" s="387" t="n">
        <f aca="false">IF(39&lt;5,0,IF(MAX(AL38:AQ38)&gt;AQ43+4+$B$18,1,0))</f>
        <v>0</v>
      </c>
      <c r="AR53" s="387" t="n">
        <f aca="false">IF(40&lt;5,0,IF(MAX(AM38:AR38)&gt;AR43+4+$B$18,1,0))</f>
        <v>0</v>
      </c>
      <c r="AS53" s="387" t="n">
        <f aca="false">IF(41&lt;5,0,IF(MAX(AN38:AS38)&gt;AS43+4+$B$18,1,0))</f>
        <v>0</v>
      </c>
      <c r="AT53" s="387" t="n">
        <f aca="false">IF(42&lt;5,0,IF(MAX(AO38:AT38)&gt;AT43+4+$B$18,1,0))</f>
        <v>0</v>
      </c>
      <c r="AU53" s="387" t="n">
        <f aca="false">IF(43&lt;5,0,IF(MAX(AP38:AU38)&gt;AU43+4+$B$18,1,0))</f>
        <v>0</v>
      </c>
      <c r="AV53" s="387" t="n">
        <f aca="false">IF(44&lt;5,0,IF(MAX(AQ38:AV38)&gt;AV43+4+$B$18,1,0))</f>
        <v>0</v>
      </c>
      <c r="AW53" s="387" t="n">
        <f aca="false">IF(45&lt;5,0,IF(MAX(AR38:AW38)&gt;AW43+4+$B$18,1,0))</f>
        <v>0</v>
      </c>
      <c r="AX53" s="387" t="n">
        <f aca="false">IF(46&lt;5,0,IF(MAX(AS38:AX38)&gt;AX43+4+$B$18,1,0))</f>
        <v>0</v>
      </c>
      <c r="AY53" s="387" t="n">
        <f aca="false">IF(47&lt;5,0,IF(MAX(AT38:AY38)&gt;AY43+4+$B$18,1,0))</f>
        <v>0</v>
      </c>
      <c r="AZ53" s="387" t="n">
        <f aca="false">IF(48&lt;5,0,IF(MAX(AU38:AZ38)&gt;AZ43+4+$B$18,1,0))</f>
        <v>0</v>
      </c>
      <c r="BA53" s="387" t="n">
        <f aca="false">IF(49&lt;5,0,IF(MAX(AV38:BA38)&gt;BA43+4+$B$18,1,0))</f>
        <v>0</v>
      </c>
      <c r="BB53" s="387" t="n">
        <f aca="false">IF(50&lt;5,0,IF(MAX(AW38:BB38)&gt;BB43+4+$B$18,1,0))</f>
        <v>0</v>
      </c>
      <c r="BC53" s="387" t="n">
        <f aca="false">IF(51&lt;5,0,IF(MAX(AX38:BC38)&gt;BC43+4+$B$18,1,0))</f>
        <v>0</v>
      </c>
      <c r="BD53" s="387" t="n">
        <f aca="false">IF(52&lt;5,0,IF(MAX(AY38:BD38)&gt;BD43+4+$B$18,1,0))</f>
        <v>0</v>
      </c>
      <c r="BE53" s="387" t="n">
        <f aca="false">IF(53&lt;5,0,IF(MAX(AZ38:BE38)&gt;BE43+4+$B$18,1,0))</f>
        <v>0</v>
      </c>
      <c r="BF53" s="387" t="n">
        <f aca="false">IF(54&lt;5,0,IF(MAX(BA38:BF38)&gt;BF43+4+$B$18,1,0))</f>
        <v>0</v>
      </c>
      <c r="BG53" s="387" t="n">
        <f aca="false">IF(55&lt;5,0,IF(MAX(BB38:BG38)&gt;BG43+4+$B$18,1,0))</f>
        <v>0</v>
      </c>
      <c r="BH53" s="387" t="n">
        <f aca="false">IF(56&lt;5,0,IF(MAX(BC38:BH38)&gt;BH43+4+$B$18,1,0))</f>
        <v>0</v>
      </c>
      <c r="BI53" s="387" t="n">
        <f aca="false">IF(57&lt;5,0,IF(MAX(BD38:BI38)&gt;BI43+4+$B$18,1,0))</f>
        <v>0</v>
      </c>
      <c r="BJ53" s="387" t="n">
        <f aca="false">IF(58&lt;5,0,IF(MAX(BE38:BJ38)&gt;BJ43+4+$B$18,1,0))</f>
        <v>0</v>
      </c>
      <c r="BK53" s="387" t="n">
        <f aca="false">IF(59&lt;5,0,IF(MAX(BF38:BK38)&gt;BK43+4+$B$18,1,0))</f>
        <v>0</v>
      </c>
      <c r="BL53" s="387" t="n">
        <f aca="false">IF(60&lt;5,0,IF(MAX(BG38:BL38)&gt;BL43+4+$B$18,1,0))</f>
        <v>0</v>
      </c>
      <c r="BM53" s="387" t="n">
        <f aca="false">IF(61&lt;5,0,IF(MAX(BH38:BM38)&gt;BM43+4+$B$18,1,0))</f>
        <v>0</v>
      </c>
      <c r="BN53" s="387" t="n">
        <f aca="false">IF(62&lt;5,0,IF(MAX(BI38:BN38)&gt;BN43+4+$B$18,1,0))</f>
        <v>0</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1390</v>
      </c>
      <c r="B54" s="213" t="n">
        <f aca="false">$B$27</f>
        <v>125000</v>
      </c>
      <c r="E54" s="387" t="n">
        <f aca="false">IF(1&lt;5,0,IF(MAX(E38:E38)&gt;E43+5+$B$18,1,0))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1</v>
      </c>
      <c r="U54" s="387" t="n">
        <f aca="false">IF(17&lt;5,0,IF(MAX(P38:U38)&gt;U43+5+$B$18,1,0))</f>
        <v>1</v>
      </c>
      <c r="V54" s="387" t="n">
        <f aca="false">IF(18&lt;5,0,IF(MAX(Q38:V38)&gt;V43+5+$B$18,1,0))</f>
        <v>1</v>
      </c>
      <c r="W54" s="387" t="n">
        <f aca="false">IF(19&lt;5,0,IF(MAX(R38:W38)&gt;W43+5+$B$18,1,0))</f>
        <v>1</v>
      </c>
      <c r="X54" s="387" t="n">
        <f aca="false">IF(20&lt;5,0,IF(MAX(S38:X38)&gt;X43+5+$B$18,1,0))</f>
        <v>1</v>
      </c>
      <c r="Y54" s="387" t="n">
        <f aca="false">IF(21&lt;5,0,IF(MAX(T38:Y38)&gt;Y43+5+$B$18,1,0))</f>
        <v>1</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0</v>
      </c>
      <c r="AR54" s="387" t="n">
        <f aca="false">IF(40&lt;5,0,IF(MAX(AM38:AR38)&gt;AR43+5+$B$18,1,0))</f>
        <v>0</v>
      </c>
      <c r="AS54" s="387" t="n">
        <f aca="false">IF(41&lt;5,0,IF(MAX(AN38:AS38)&gt;AS43+5+$B$18,1,0))</f>
        <v>0</v>
      </c>
      <c r="AT54" s="387" t="n">
        <f aca="false">IF(42&lt;5,0,IF(MAX(AO38:AT38)&gt;AT43+5+$B$18,1,0))</f>
        <v>0</v>
      </c>
      <c r="AU54" s="387" t="n">
        <f aca="false">IF(43&lt;5,0,IF(MAX(AP38:AU38)&gt;AU43+5+$B$18,1,0))</f>
        <v>0</v>
      </c>
      <c r="AV54" s="387" t="n">
        <f aca="false">IF(44&lt;5,0,IF(MAX(AQ38:AV38)&gt;AV43+5+$B$18,1,0))</f>
        <v>0</v>
      </c>
      <c r="AW54" s="387" t="n">
        <f aca="false">IF(45&lt;5,0,IF(MAX(AR38:AW38)&gt;AW43+5+$B$18,1,0))</f>
        <v>0</v>
      </c>
      <c r="AX54" s="387" t="n">
        <f aca="false">IF(46&lt;5,0,IF(MAX(AS38:AX38)&gt;AX43+5+$B$18,1,0))</f>
        <v>0</v>
      </c>
      <c r="AY54" s="387" t="n">
        <f aca="false">IF(47&lt;5,0,IF(MAX(AT38:AY38)&gt;AY43+5+$B$18,1,0))</f>
        <v>0</v>
      </c>
      <c r="AZ54" s="387" t="n">
        <f aca="false">IF(48&lt;5,0,IF(MAX(AU38:AZ38)&gt;AZ43+5+$B$18,1,0))</f>
        <v>0</v>
      </c>
      <c r="BA54" s="387" t="n">
        <f aca="false">IF(49&lt;5,0,IF(MAX(AV38:BA38)&gt;BA43+5+$B$18,1,0))</f>
        <v>0</v>
      </c>
      <c r="BB54" s="387" t="n">
        <f aca="false">IF(50&lt;5,0,IF(MAX(AW38:BB38)&gt;BB43+5+$B$18,1,0))</f>
        <v>0</v>
      </c>
      <c r="BC54" s="387" t="n">
        <f aca="false">IF(51&lt;5,0,IF(MAX(AX38:BC38)&gt;BC43+5+$B$18,1,0))</f>
        <v>0</v>
      </c>
      <c r="BD54" s="387" t="n">
        <f aca="false">IF(52&lt;5,0,IF(MAX(AY38:BD38)&gt;BD43+5+$B$18,1,0))</f>
        <v>0</v>
      </c>
      <c r="BE54" s="387" t="n">
        <f aca="false">IF(53&lt;5,0,IF(MAX(AZ38:BE38)&gt;BE43+5+$B$18,1,0))</f>
        <v>0</v>
      </c>
      <c r="BF54" s="387" t="n">
        <f aca="false">IF(54&lt;5,0,IF(MAX(BA38:BF38)&gt;BF43+5+$B$18,1,0))</f>
        <v>0</v>
      </c>
      <c r="BG54" s="387" t="n">
        <f aca="false">IF(55&lt;5,0,IF(MAX(BB38:BG38)&gt;BG43+5+$B$18,1,0))</f>
        <v>0</v>
      </c>
      <c r="BH54" s="387" t="n">
        <f aca="false">IF(56&lt;5,0,IF(MAX(BC38:BH38)&gt;BH43+5+$B$18,1,0))</f>
        <v>0</v>
      </c>
      <c r="BI54" s="387" t="n">
        <f aca="false">IF(57&lt;5,0,IF(MAX(BD38:BI38)&gt;BI43+5+$B$18,1,0))</f>
        <v>0</v>
      </c>
      <c r="BJ54" s="387" t="n">
        <f aca="false">IF(58&lt;5,0,IF(MAX(BE38:BJ38)&gt;BJ43+5+$B$18,1,0))</f>
        <v>0</v>
      </c>
      <c r="BK54" s="387" t="n">
        <f aca="false">IF(59&lt;5,0,IF(MAX(BF38:BK38)&gt;BK43+5+$B$18,1,0))</f>
        <v>0</v>
      </c>
      <c r="BL54" s="387" t="n">
        <f aca="false">IF(60&lt;5,0,IF(MAX(BG38:BL38)&gt;BL43+5+$B$18,1,0))</f>
        <v>0</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1391</v>
      </c>
      <c r="B55" s="213" t="n">
        <f aca="false">$B$27</f>
        <v>125000</v>
      </c>
      <c r="E55" s="387" t="n">
        <f aca="false">IF(1&lt;5,0,IF(MAX(E38:E38)&gt;E43+6+$B$18,1,0))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0</v>
      </c>
      <c r="AV55" s="387" t="n">
        <f aca="false">IF(44&lt;5,0,IF(MAX(AQ38:AV38)&gt;AV43+6+$B$18,1,0))</f>
        <v>0</v>
      </c>
      <c r="AW55" s="387" t="n">
        <f aca="false">IF(45&lt;5,0,IF(MAX(AR38:AW38)&gt;AW43+6+$B$18,1,0))</f>
        <v>0</v>
      </c>
      <c r="AX55" s="387" t="n">
        <f aca="false">IF(46&lt;5,0,IF(MAX(AS38:AX38)&gt;AX43+6+$B$18,1,0))</f>
        <v>0</v>
      </c>
      <c r="AY55" s="387" t="n">
        <f aca="false">IF(47&lt;5,0,IF(MAX(AT38:AY38)&gt;AY43+6+$B$18,1,0))</f>
        <v>0</v>
      </c>
      <c r="AZ55" s="387" t="n">
        <f aca="false">IF(48&lt;5,0,IF(MAX(AU38:AZ38)&gt;AZ43+6+$B$18,1,0))</f>
        <v>0</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1392</v>
      </c>
      <c r="B56" s="213" t="n">
        <f aca="false">$B$27</f>
        <v>125000</v>
      </c>
      <c r="E56" s="387" t="n">
        <f aca="false">IF(1&lt;5,0,IF(MAX(E38:E38)&gt;E43+7+$B$18,1,0))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1393</v>
      </c>
      <c r="B57" s="213" t="n">
        <f aca="false">$B$27</f>
        <v>125000</v>
      </c>
      <c r="E57" s="387" t="n">
        <f aca="false">IF(1&lt;5,0,IF(MAX(E38:E38)&gt;E43+8+$B$18,1,0))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1394</v>
      </c>
      <c r="B58" s="213" t="n">
        <f aca="false">$B$27</f>
        <v>125000</v>
      </c>
      <c r="E58" s="387" t="n">
        <f aca="false">IF(1&lt;5,0,IF(MAX(E38:E38)&gt;E43+9+$B$18,1,0))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1395</v>
      </c>
      <c r="B61" s="213" t="n">
        <f aca="false">$B$28</f>
        <v>130000</v>
      </c>
      <c r="E61" s="387" t="n">
        <f aca="false">IF(1&lt;5,0,IF(MAX(E39:E39)&gt;E44+0+$B$18,1,0))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0</v>
      </c>
      <c r="AR61" s="387" t="n">
        <f aca="false">IF(40&lt;5,0,IF(MAX(AM39:AR39)&gt;AR44+0+$B$18,1,0))</f>
        <v>0</v>
      </c>
      <c r="AS61" s="387" t="n">
        <f aca="false">IF(41&lt;5,0,IF(MAX(AN39:AS39)&gt;AS44+0+$B$18,1,0))</f>
        <v>0</v>
      </c>
      <c r="AT61" s="387" t="n">
        <f aca="false">IF(42&lt;5,0,IF(MAX(AO39:AT39)&gt;AT44+0+$B$18,1,0))</f>
        <v>0</v>
      </c>
      <c r="AU61" s="387" t="n">
        <f aca="false">IF(43&lt;5,0,IF(MAX(AP39:AU39)&gt;AU44+0+$B$18,1,0))</f>
        <v>0</v>
      </c>
      <c r="AV61" s="387" t="n">
        <f aca="false">IF(44&lt;5,0,IF(MAX(AQ39:AV39)&gt;AV44+0+$B$18,1,0))</f>
        <v>0</v>
      </c>
      <c r="AW61" s="387" t="n">
        <f aca="false">IF(45&lt;5,0,IF(MAX(AR39:AW39)&gt;AW44+0+$B$18,1,0))</f>
        <v>0</v>
      </c>
      <c r="AX61" s="387" t="n">
        <f aca="false">IF(46&lt;5,0,IF(MAX(AS39:AX39)&gt;AX44+0+$B$18,1,0))</f>
        <v>0</v>
      </c>
      <c r="AY61" s="387" t="n">
        <f aca="false">IF(47&lt;5,0,IF(MAX(AT39:AY39)&gt;AY44+0+$B$18,1,0))</f>
        <v>0</v>
      </c>
      <c r="AZ61" s="387" t="n">
        <f aca="false">IF(48&lt;5,0,IF(MAX(AU39:AZ39)&gt;AZ44+0+$B$18,1,0))</f>
        <v>0</v>
      </c>
      <c r="BA61" s="387" t="n">
        <f aca="false">IF(49&lt;5,0,IF(MAX(AV39:BA39)&gt;BA44+0+$B$18,1,0))</f>
        <v>0</v>
      </c>
      <c r="BB61" s="387" t="n">
        <f aca="false">IF(50&lt;5,0,IF(MAX(AW39:BB39)&gt;BB44+0+$B$18,1,0))</f>
        <v>0</v>
      </c>
      <c r="BC61" s="387" t="n">
        <f aca="false">IF(51&lt;5,0,IF(MAX(AX39:BC39)&gt;BC44+0+$B$18,1,0))</f>
        <v>0</v>
      </c>
      <c r="BD61" s="387" t="n">
        <f aca="false">IF(52&lt;5,0,IF(MAX(AY39:BD39)&gt;BD44+0+$B$18,1,0))</f>
        <v>0</v>
      </c>
      <c r="BE61" s="387" t="n">
        <f aca="false">IF(53&lt;5,0,IF(MAX(AZ39:BE39)&gt;BE44+0+$B$18,1,0))</f>
        <v>0</v>
      </c>
      <c r="BF61" s="387" t="n">
        <f aca="false">IF(54&lt;5,0,IF(MAX(BA39:BF39)&gt;BF44+0+$B$18,1,0))</f>
        <v>0</v>
      </c>
      <c r="BG61" s="387" t="n">
        <f aca="false">IF(55&lt;5,0,IF(MAX(BB39:BG39)&gt;BG44+0+$B$18,1,0))</f>
        <v>0</v>
      </c>
      <c r="BH61" s="387" t="n">
        <f aca="false">IF(56&lt;5,0,IF(MAX(BC39:BH39)&gt;BH44+0+$B$18,1,0))</f>
        <v>0</v>
      </c>
      <c r="BI61" s="387" t="n">
        <f aca="false">IF(57&lt;5,0,IF(MAX(BD39:BI39)&gt;BI44+0+$B$18,1,0))</f>
        <v>0</v>
      </c>
      <c r="BJ61" s="387" t="n">
        <f aca="false">IF(58&lt;5,0,IF(MAX(BE39:BJ39)&gt;BJ44+0+$B$18,1,0))</f>
        <v>0</v>
      </c>
      <c r="BK61" s="387" t="n">
        <f aca="false">IF(59&lt;5,0,IF(MAX(BF39:BK39)&gt;BK44+0+$B$18,1,0))</f>
        <v>0</v>
      </c>
      <c r="BL61" s="387" t="n">
        <f aca="false">IF(60&lt;5,0,IF(MAX(BG39:BL39)&gt;BL44+0+$B$18,1,0))</f>
        <v>0</v>
      </c>
      <c r="BM61" s="387" t="n">
        <f aca="false">IF(61&lt;5,0,IF(MAX(BH39:BM39)&gt;BM44+0+$B$18,1,0))</f>
        <v>0</v>
      </c>
      <c r="BN61" s="387" t="n">
        <f aca="false">IF(62&lt;5,0,IF(MAX(BI39:BN39)&gt;BN44+0+$B$18,1,0))</f>
        <v>0</v>
      </c>
      <c r="BO61" s="387" t="n">
        <f aca="false">IF(63&lt;5,0,IF(MAX(BJ39:BO39)&gt;BO44+0+$B$18,1,0))</f>
        <v>0</v>
      </c>
      <c r="BP61" s="387" t="n">
        <f aca="false">IF(64&lt;5,0,IF(MAX(BK39:BP39)&gt;BP44+0+$B$18,1,0))</f>
        <v>0</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1396</v>
      </c>
      <c r="B62" s="213" t="n">
        <f aca="false">$B$28</f>
        <v>130000</v>
      </c>
      <c r="E62" s="387" t="n">
        <f aca="false">IF(1&lt;5,0,IF(MAX(E39:E39)&gt;E44+1+$B$18,1,0))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0</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0</v>
      </c>
      <c r="AN62" s="387" t="n">
        <f aca="false">IF(36&lt;5,0,IF(MAX(AI39:AN39)&gt;AN44+1+$B$18,1,0))</f>
        <v>0</v>
      </c>
      <c r="AO62" s="387" t="n">
        <f aca="false">IF(37&lt;5,0,IF(MAX(AJ39:AO39)&gt;AO44+1+$B$18,1,0))</f>
        <v>0</v>
      </c>
      <c r="AP62" s="387" t="n">
        <f aca="false">IF(38&lt;5,0,IF(MAX(AK39:AP39)&gt;AP44+1+$B$18,1,0))</f>
        <v>0</v>
      </c>
      <c r="AQ62" s="387" t="n">
        <f aca="false">IF(39&lt;5,0,IF(MAX(AL39:AQ39)&gt;AQ44+1+$B$18,1,0))</f>
        <v>0</v>
      </c>
      <c r="AR62" s="387" t="n">
        <f aca="false">IF(40&lt;5,0,IF(MAX(AM39:AR39)&gt;AR44+1+$B$18,1,0))</f>
        <v>0</v>
      </c>
      <c r="AS62" s="387" t="n">
        <f aca="false">IF(41&lt;5,0,IF(MAX(AN39:AS39)&gt;AS44+1+$B$18,1,0))</f>
        <v>0</v>
      </c>
      <c r="AT62" s="387" t="n">
        <f aca="false">IF(42&lt;5,0,IF(MAX(AO39:AT39)&gt;AT44+1+$B$18,1,0))</f>
        <v>0</v>
      </c>
      <c r="AU62" s="387" t="n">
        <f aca="false">IF(43&lt;5,0,IF(MAX(AP39:AU39)&gt;AU44+1+$B$18,1,0))</f>
        <v>0</v>
      </c>
      <c r="AV62" s="387" t="n">
        <f aca="false">IF(44&lt;5,0,IF(MAX(AQ39:AV39)&gt;AV44+1+$B$18,1,0))</f>
        <v>0</v>
      </c>
      <c r="AW62" s="387" t="n">
        <f aca="false">IF(45&lt;5,0,IF(MAX(AR39:AW39)&gt;AW44+1+$B$18,1,0))</f>
        <v>0</v>
      </c>
      <c r="AX62" s="387" t="n">
        <f aca="false">IF(46&lt;5,0,IF(MAX(AS39:AX39)&gt;AX44+1+$B$18,1,0))</f>
        <v>0</v>
      </c>
      <c r="AY62" s="387" t="n">
        <f aca="false">IF(47&lt;5,0,IF(MAX(AT39:AY39)&gt;AY44+1+$B$18,1,0))</f>
        <v>0</v>
      </c>
      <c r="AZ62" s="387" t="n">
        <f aca="false">IF(48&lt;5,0,IF(MAX(AU39:AZ39)&gt;AZ44+1+$B$18,1,0))</f>
        <v>0</v>
      </c>
      <c r="BA62" s="387" t="n">
        <f aca="false">IF(49&lt;5,0,IF(MAX(AV39:BA39)&gt;BA44+1+$B$18,1,0))</f>
        <v>0</v>
      </c>
      <c r="BB62" s="387" t="n">
        <f aca="false">IF(50&lt;5,0,IF(MAX(AW39:BB39)&gt;BB44+1+$B$18,1,0))</f>
        <v>0</v>
      </c>
      <c r="BC62" s="387" t="n">
        <f aca="false">IF(51&lt;5,0,IF(MAX(AX39:BC39)&gt;BC44+1+$B$18,1,0))</f>
        <v>0</v>
      </c>
      <c r="BD62" s="387" t="n">
        <f aca="false">IF(52&lt;5,0,IF(MAX(AY39:BD39)&gt;BD44+1+$B$18,1,0))</f>
        <v>0</v>
      </c>
      <c r="BE62" s="387" t="n">
        <f aca="false">IF(53&lt;5,0,IF(MAX(AZ39:BE39)&gt;BE44+1+$B$18,1,0))</f>
        <v>0</v>
      </c>
      <c r="BF62" s="387" t="n">
        <f aca="false">IF(54&lt;5,0,IF(MAX(BA39:BF39)&gt;BF44+1+$B$18,1,0))</f>
        <v>0</v>
      </c>
      <c r="BG62" s="387" t="n">
        <f aca="false">IF(55&lt;5,0,IF(MAX(BB39:BG39)&gt;BG44+1+$B$18,1,0))</f>
        <v>0</v>
      </c>
      <c r="BH62" s="387" t="n">
        <f aca="false">IF(56&lt;5,0,IF(MAX(BC39:BH39)&gt;BH44+1+$B$18,1,0))</f>
        <v>0</v>
      </c>
      <c r="BI62" s="387" t="n">
        <f aca="false">IF(57&lt;5,0,IF(MAX(BD39:BI39)&gt;BI44+1+$B$18,1,0))</f>
        <v>0</v>
      </c>
      <c r="BJ62" s="387" t="n">
        <f aca="false">IF(58&lt;5,0,IF(MAX(BE39:BJ39)&gt;BJ44+1+$B$18,1,0))</f>
        <v>0</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1397</v>
      </c>
      <c r="B63" s="213" t="n">
        <f aca="false">$B$28</f>
        <v>130000</v>
      </c>
      <c r="E63" s="387" t="n">
        <f aca="false">IF(1&lt;5,0,IF(MAX(E39:E39)&gt;E44+2+$B$18,1,0))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0</v>
      </c>
      <c r="AR63" s="387" t="n">
        <f aca="false">IF(40&lt;5,0,IF(MAX(AM39:AR39)&gt;AR44+2+$B$18,1,0))</f>
        <v>0</v>
      </c>
      <c r="AS63" s="387" t="n">
        <f aca="false">IF(41&lt;5,0,IF(MAX(AN39:AS39)&gt;AS44+2+$B$18,1,0))</f>
        <v>0</v>
      </c>
      <c r="AT63" s="387" t="n">
        <f aca="false">IF(42&lt;5,0,IF(MAX(AO39:AT39)&gt;AT44+2+$B$18,1,0))</f>
        <v>0</v>
      </c>
      <c r="AU63" s="387" t="n">
        <f aca="false">IF(43&lt;5,0,IF(MAX(AP39:AU39)&gt;AU44+2+$B$18,1,0))</f>
        <v>0</v>
      </c>
      <c r="AV63" s="387" t="n">
        <f aca="false">IF(44&lt;5,0,IF(MAX(AQ39:AV39)&gt;AV44+2+$B$18,1,0))</f>
        <v>0</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1398</v>
      </c>
      <c r="B64" s="213" t="n">
        <f aca="false">$B$28</f>
        <v>130000</v>
      </c>
      <c r="E64" s="387" t="n">
        <f aca="false">IF(1&lt;5,0,IF(MAX(E39:E39)&gt;E44+3+$B$18,1,0))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1399</v>
      </c>
      <c r="B65" s="213" t="n">
        <f aca="false">$B$28</f>
        <v>130000</v>
      </c>
      <c r="E65" s="387" t="n">
        <f aca="false">IF(1&lt;5,0,IF(MAX(E39:E39)&gt;E44+4+$B$18,1,0))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1400</v>
      </c>
      <c r="B66" s="213" t="n">
        <f aca="false">$B$28</f>
        <v>130000</v>
      </c>
      <c r="E66" s="387" t="n">
        <f aca="false">IF(1&lt;5,0,IF(MAX(E39:E39)&gt;E44+5+$B$18,1,0))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1401</v>
      </c>
      <c r="B67" s="213" t="n">
        <f aca="false">$B$28</f>
        <v>130000</v>
      </c>
      <c r="E67" s="387" t="n">
        <f aca="false">IF(1&lt;5,0,IF(MAX(E39:E39)&gt;E44+6+$B$18,1,0))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1402</v>
      </c>
      <c r="B68" s="213" t="n">
        <f aca="false">$B$28</f>
        <v>130000</v>
      </c>
      <c r="E68" s="387" t="n">
        <f aca="false">IF(1&lt;5,0,IF(MAX(E39:E39)&gt;E44+7+$B$18,1,0))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1403</v>
      </c>
      <c r="B71" s="213" t="n">
        <f aca="false">$B$29</f>
        <v>180000</v>
      </c>
      <c r="E71" s="387" t="n">
        <f aca="false">IF(1&lt;5,0,IF(MAX(E40:E40)&gt;E45+0+$B$18,1,0))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0</v>
      </c>
      <c r="AN71" s="387" t="n">
        <f aca="false">IF(36&lt;5,0,IF(MAX(AI40:AN40)&gt;AN45+0+$B$18,1,0))</f>
        <v>0</v>
      </c>
      <c r="AO71" s="387" t="n">
        <f aca="false">IF(37&lt;5,0,IF(MAX(AJ40:AO40)&gt;AO45+0+$B$18,1,0))</f>
        <v>0</v>
      </c>
      <c r="AP71" s="387" t="n">
        <f aca="false">IF(38&lt;5,0,IF(MAX(AK40:AP40)&gt;AP45+0+$B$18,1,0))</f>
        <v>0</v>
      </c>
      <c r="AQ71" s="387" t="n">
        <f aca="false">IF(39&lt;5,0,IF(MAX(AL40:AQ40)&gt;AQ45+0+$B$18,1,0))</f>
        <v>0</v>
      </c>
      <c r="AR71" s="387" t="n">
        <f aca="false">IF(40&lt;5,0,IF(MAX(AM40:AR40)&gt;AR45+0+$B$18,1,0))</f>
        <v>0</v>
      </c>
      <c r="AS71" s="387" t="n">
        <f aca="false">IF(41&lt;5,0,IF(MAX(AN40:AS40)&gt;AS45+0+$B$18,1,0))</f>
        <v>0</v>
      </c>
      <c r="AT71" s="387" t="n">
        <f aca="false">IF(42&lt;5,0,IF(MAX(AO40:AT40)&gt;AT45+0+$B$18,1,0))</f>
        <v>0</v>
      </c>
      <c r="AU71" s="387" t="n">
        <f aca="false">IF(43&lt;5,0,IF(MAX(AP40:AU40)&gt;AU45+0+$B$18,1,0))</f>
        <v>0</v>
      </c>
      <c r="AV71" s="387" t="n">
        <f aca="false">IF(44&lt;5,0,IF(MAX(AQ40:AV40)&gt;AV45+0+$B$18,1,0))</f>
        <v>0</v>
      </c>
      <c r="AW71" s="387" t="n">
        <f aca="false">IF(45&lt;5,0,IF(MAX(AR40:AW40)&gt;AW45+0+$B$18,1,0))</f>
        <v>0</v>
      </c>
      <c r="AX71" s="387" t="n">
        <f aca="false">IF(46&lt;5,0,IF(MAX(AS40:AX40)&gt;AX45+0+$B$18,1,0))</f>
        <v>0</v>
      </c>
      <c r="AY71" s="387" t="n">
        <f aca="false">IF(47&lt;5,0,IF(MAX(AT40:AY40)&gt;AY45+0+$B$18,1,0))</f>
        <v>0</v>
      </c>
      <c r="AZ71" s="387" t="n">
        <f aca="false">IF(48&lt;5,0,IF(MAX(AU40:AZ40)&gt;AZ45+0+$B$18,1,0))</f>
        <v>0</v>
      </c>
      <c r="BA71" s="387" t="n">
        <f aca="false">IF(49&lt;5,0,IF(MAX(AV40:BA40)&gt;BA45+0+$B$18,1,0))</f>
        <v>0</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1404</v>
      </c>
      <c r="B72" s="213" t="n">
        <f aca="false">$B$29</f>
        <v>180000</v>
      </c>
      <c r="E72" s="387" t="n">
        <f aca="false">IF(1&lt;5,0,IF(MAX(E40:E40)&gt;E45+1+$B$18,1,0))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1405</v>
      </c>
      <c r="B73" s="213" t="n">
        <f aca="false">$B$29</f>
        <v>180000</v>
      </c>
      <c r="E73" s="387" t="n">
        <f aca="false">IF(1&lt;5,0,IF(MAX(E40:E40)&gt;E45+2+$B$18,1,0))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1406</v>
      </c>
      <c r="B74" s="213" t="n">
        <f aca="false">$B$29</f>
        <v>180000</v>
      </c>
      <c r="E74" s="387" t="n">
        <f aca="false">IF(1&lt;5,0,IF(MAX(E40:E40)&gt;E45+3+$B$18,1,0))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1407</v>
      </c>
      <c r="B77" s="213" t="n">
        <f aca="false">$B$30</f>
        <v>80000</v>
      </c>
      <c r="E77" s="387" t="n">
        <f aca="false">IF(1&lt;5,0,IF(MAX(E37:E37)&gt;=$B$22,1,0))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0</v>
      </c>
      <c r="AM77" s="387" t="n">
        <f aca="false">IF(35&lt;5,0,IF(MAX(AH37:AM37)&gt;=$B$22,1,0))</f>
        <v>0</v>
      </c>
      <c r="AN77" s="387" t="n">
        <f aca="false">IF(36&lt;5,0,IF(MAX(AI37:AN37)&gt;=$B$22,1,0))</f>
        <v>0</v>
      </c>
      <c r="AO77" s="387" t="n">
        <f aca="false">IF(37&lt;5,0,IF(MAX(AJ37:AO37)&gt;=$B$22,1,0))</f>
        <v>0</v>
      </c>
      <c r="AP77" s="387" t="n">
        <f aca="false">IF(38&lt;5,0,IF(MAX(AK37:AP37)&gt;=$B$22,1,0))</f>
        <v>0</v>
      </c>
      <c r="AQ77" s="387" t="n">
        <f aca="false">IF(39&lt;5,0,IF(MAX(AL37:AQ37)&gt;=$B$22,1,0))</f>
        <v>0</v>
      </c>
      <c r="AR77" s="387" t="n">
        <f aca="false">IF(40&lt;5,0,IF(MAX(AM37:AR37)&gt;=$B$22,1,0))</f>
        <v>0</v>
      </c>
      <c r="AS77" s="387" t="n">
        <f aca="false">IF(41&lt;5,0,IF(MAX(AN37:AS37)&gt;=$B$22,1,0))</f>
        <v>0</v>
      </c>
      <c r="AT77" s="387" t="n">
        <f aca="false">IF(42&lt;5,0,IF(MAX(AO37:AT37)&gt;=$B$22,1,0))</f>
        <v>0</v>
      </c>
      <c r="AU77" s="387" t="n">
        <f aca="false">IF(43&lt;5,0,IF(MAX(AP37:AU37)&gt;=$B$22,1,0))</f>
        <v>0</v>
      </c>
      <c r="AV77" s="387" t="n">
        <f aca="false">IF(44&lt;5,0,IF(MAX(AQ37:AV37)&gt;=$B$22,1,0))</f>
        <v>0</v>
      </c>
      <c r="AW77" s="387" t="n">
        <f aca="false">IF(45&lt;5,0,IF(MAX(AR37:AW37)&gt;=$B$22,1,0))</f>
        <v>0</v>
      </c>
      <c r="AX77" s="387" t="n">
        <f aca="false">IF(46&lt;5,0,IF(MAX(AS37:AX37)&gt;=$B$22,1,0))</f>
        <v>0</v>
      </c>
      <c r="AY77" s="387" t="n">
        <f aca="false">IF(47&lt;5,0,IF(MAX(AT37:AY37)&gt;=$B$22,1,0))</f>
        <v>0</v>
      </c>
      <c r="AZ77" s="387" t="n">
        <f aca="false">IF(48&lt;5,0,IF(MAX(AU37:AZ37)&gt;=$B$22,1,0))</f>
        <v>0</v>
      </c>
      <c r="BA77" s="387" t="n">
        <f aca="false">IF(49&lt;5,0,IF(MAX(AV37:BA37)&gt;=$B$22,1,0))</f>
        <v>0</v>
      </c>
      <c r="BB77" s="387" t="n">
        <f aca="false">IF(50&lt;5,0,IF(MAX(AW37:BB37)&gt;=$B$22,1,0))</f>
        <v>0</v>
      </c>
      <c r="BC77" s="387" t="n">
        <f aca="false">IF(51&lt;5,0,IF(MAX(AX37:BC37)&gt;=$B$22,1,0))</f>
        <v>0</v>
      </c>
      <c r="BD77" s="387" t="n">
        <f aca="false">IF(52&lt;5,0,IF(MAX(AY37:BD37)&gt;=$B$22,1,0))</f>
        <v>0</v>
      </c>
      <c r="BE77" s="387" t="n">
        <f aca="false">IF(53&lt;5,0,IF(MAX(AZ37:BE37)&gt;=$B$22,1,0))</f>
        <v>0</v>
      </c>
      <c r="BF77" s="387" t="n">
        <f aca="false">IF(54&lt;5,0,IF(MAX(BA37:BF37)&gt;=$B$22,1,0))</f>
        <v>0</v>
      </c>
      <c r="BG77" s="387" t="n">
        <f aca="false">IF(55&lt;5,0,IF(MAX(BB37:BG37)&gt;=$B$22,1,0))</f>
        <v>0</v>
      </c>
      <c r="BH77" s="387" t="n">
        <f aca="false">IF(56&lt;5,0,IF(MAX(BC37:BH37)&gt;=$B$22,1,0))</f>
        <v>0</v>
      </c>
      <c r="BI77" s="387" t="n">
        <f aca="false">IF(57&lt;5,0,IF(MAX(BD37:BI37)&gt;=$B$22,1,0))</f>
        <v>0</v>
      </c>
      <c r="BJ77" s="387" t="n">
        <f aca="false">IF(58&lt;5,0,IF(MAX(BE37:BJ37)&gt;=$B$22,1,0))</f>
        <v>0</v>
      </c>
      <c r="BK77" s="387" t="n">
        <f aca="false">IF(59&lt;5,0,IF(MAX(BF37:BK37)&gt;=$B$22,1,0))</f>
        <v>0</v>
      </c>
      <c r="BL77" s="387" t="n">
        <f aca="false">IF(60&lt;5,0,IF(MAX(BG37:BL37)&gt;=$B$22,1,0))</f>
        <v>0</v>
      </c>
      <c r="BM77" s="387" t="n">
        <f aca="false">IF(61&lt;5,0,IF(MAX(BH37:BM37)&gt;=$B$22,1,0))</f>
        <v>0</v>
      </c>
      <c r="BN77" s="387" t="n">
        <f aca="false">IF(62&lt;5,0,IF(MAX(BI37:BN37)&gt;=$B$22,1,0))</f>
        <v>0</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1408</v>
      </c>
      <c r="B78" s="213" t="n">
        <f aca="false">$B$30</f>
        <v>80000</v>
      </c>
      <c r="E78" s="387" t="n">
        <f aca="false">IF(1&lt;5,0,IF(MAX(E37:E37)&gt;=$B$23,1,0))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0</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0</v>
      </c>
      <c r="AC78" s="387" t="n">
        <f aca="false">IF(25&lt;5,0,IF(MAX(X37:AC37)&gt;=$B$23,1,0))</f>
        <v>0</v>
      </c>
      <c r="AD78" s="387" t="n">
        <f aca="false">IF(26&lt;5,0,IF(MAX(Y37:AD37)&gt;=$B$23,1,0))</f>
        <v>0</v>
      </c>
      <c r="AE78" s="387" t="n">
        <f aca="false">IF(27&lt;5,0,IF(MAX(Z37:AE37)&gt;=$B$23,1,0))</f>
        <v>0</v>
      </c>
      <c r="AF78" s="387" t="n">
        <f aca="false">IF(28&lt;5,0,IF(MAX(AA37:AF37)&gt;=$B$23,1,0))</f>
        <v>0</v>
      </c>
      <c r="AG78" s="387" t="n">
        <f aca="false">IF(29&lt;5,0,IF(MAX(AB37:AG37)&gt;=$B$23,1,0))</f>
        <v>0</v>
      </c>
      <c r="AH78" s="387" t="n">
        <f aca="false">IF(30&lt;5,0,IF(MAX(AC37:AH37)&gt;=$B$23,1,0))</f>
        <v>0</v>
      </c>
      <c r="AI78" s="387" t="n">
        <f aca="false">IF(31&lt;5,0,IF(MAX(AD37:AI37)&gt;=$B$23,1,0))</f>
        <v>0</v>
      </c>
      <c r="AJ78" s="387" t="n">
        <f aca="false">IF(32&lt;5,0,IF(MAX(AE37:AJ37)&gt;=$B$23,1,0))</f>
        <v>0</v>
      </c>
      <c r="AK78" s="387" t="n">
        <f aca="false">IF(33&lt;5,0,IF(MAX(AF37:AK37)&gt;=$B$23,1,0))</f>
        <v>0</v>
      </c>
      <c r="AL78" s="387" t="n">
        <f aca="false">IF(34&lt;5,0,IF(MAX(AG37:AL37)&gt;=$B$23,1,0))</f>
        <v>0</v>
      </c>
      <c r="AM78" s="387" t="n">
        <f aca="false">IF(35&lt;5,0,IF(MAX(AH37:AM37)&gt;=$B$23,1,0))</f>
        <v>0</v>
      </c>
      <c r="AN78" s="387" t="n">
        <f aca="false">IF(36&lt;5,0,IF(MAX(AI37:AN37)&gt;=$B$23,1,0))</f>
        <v>0</v>
      </c>
      <c r="AO78" s="387" t="n">
        <f aca="false">IF(37&lt;5,0,IF(MAX(AJ37:AO37)&gt;=$B$23,1,0))</f>
        <v>0</v>
      </c>
      <c r="AP78" s="387" t="n">
        <f aca="false">IF(38&lt;5,0,IF(MAX(AK37:AP37)&gt;=$B$23,1,0))</f>
        <v>0</v>
      </c>
      <c r="AQ78" s="387" t="n">
        <f aca="false">IF(39&lt;5,0,IF(MAX(AL37:AQ37)&gt;=$B$23,1,0))</f>
        <v>0</v>
      </c>
      <c r="AR78" s="387" t="n">
        <f aca="false">IF(40&lt;5,0,IF(MAX(AM37:AR37)&gt;=$B$23,1,0))</f>
        <v>0</v>
      </c>
      <c r="AS78" s="387" t="n">
        <f aca="false">IF(41&lt;5,0,IF(MAX(AN37:AS37)&gt;=$B$23,1,0))</f>
        <v>0</v>
      </c>
      <c r="AT78" s="387" t="n">
        <f aca="false">IF(42&lt;5,0,IF(MAX(AO37:AT37)&gt;=$B$23,1,0))</f>
        <v>0</v>
      </c>
      <c r="AU78" s="387" t="n">
        <f aca="false">IF(43&lt;5,0,IF(MAX(AP37:AU37)&gt;=$B$23,1,0))</f>
        <v>0</v>
      </c>
      <c r="AV78" s="387" t="n">
        <f aca="false">IF(44&lt;5,0,IF(MAX(AQ37:AV37)&gt;=$B$23,1,0))</f>
        <v>0</v>
      </c>
      <c r="AW78" s="387" t="n">
        <f aca="false">IF(45&lt;5,0,IF(MAX(AR37:AW37)&gt;=$B$23,1,0))</f>
        <v>0</v>
      </c>
      <c r="AX78" s="387" t="n">
        <f aca="false">IF(46&lt;5,0,IF(MAX(AS37:AX37)&gt;=$B$23,1,0))</f>
        <v>0</v>
      </c>
      <c r="AY78" s="387" t="n">
        <f aca="false">IF(47&lt;5,0,IF(MAX(AT37:AY37)&gt;=$B$23,1,0))</f>
        <v>0</v>
      </c>
      <c r="AZ78" s="387" t="n">
        <f aca="false">IF(48&lt;5,0,IF(MAX(AU37:AZ37)&gt;=$B$23,1,0))</f>
        <v>0</v>
      </c>
      <c r="BA78" s="387" t="n">
        <f aca="false">IF(49&lt;5,0,IF(MAX(AV37:BA37)&gt;=$B$23,1,0))</f>
        <v>0</v>
      </c>
      <c r="BB78" s="387" t="n">
        <f aca="false">IF(50&lt;5,0,IF(MAX(AW37:BB37)&gt;=$B$23,1,0))</f>
        <v>0</v>
      </c>
      <c r="BC78" s="387" t="n">
        <f aca="false">IF(51&lt;5,0,IF(MAX(AX37:BC37)&gt;=$B$23,1,0))</f>
        <v>0</v>
      </c>
      <c r="BD78" s="387" t="n">
        <f aca="false">IF(52&lt;5,0,IF(MAX(AY37:BD37)&gt;=$B$23,1,0))</f>
        <v>0</v>
      </c>
      <c r="BE78" s="387" t="n">
        <f aca="false">IF(53&lt;5,0,IF(MAX(AZ37:BE37)&gt;=$B$23,1,0))</f>
        <v>0</v>
      </c>
      <c r="BF78" s="387" t="n">
        <f aca="false">IF(54&lt;5,0,IF(MAX(BA37:BF37)&gt;=$B$23,1,0))</f>
        <v>0</v>
      </c>
      <c r="BG78" s="387" t="n">
        <f aca="false">IF(55&lt;5,0,IF(MAX(BB37:BG37)&gt;=$B$23,1,0))</f>
        <v>0</v>
      </c>
      <c r="BH78" s="387" t="n">
        <f aca="false">IF(56&lt;5,0,IF(MAX(BC37:BH37)&gt;=$B$23,1,0))</f>
        <v>0</v>
      </c>
      <c r="BI78" s="387" t="n">
        <f aca="false">IF(57&lt;5,0,IF(MAX(BD37:BI37)&gt;=$B$23,1,0))</f>
        <v>0</v>
      </c>
      <c r="BJ78" s="387" t="n">
        <f aca="false">IF(58&lt;5,0,IF(MAX(BE37:BJ37)&gt;=$B$23,1,0))</f>
        <v>0</v>
      </c>
      <c r="BK78" s="387" t="n">
        <f aca="false">IF(59&lt;5,0,IF(MAX(BF37:BK37)&gt;=$B$23,1,0))</f>
        <v>0</v>
      </c>
      <c r="BL78" s="387" t="n">
        <f aca="false">IF(60&lt;5,0,IF(MAX(BG37:BL37)&gt;=$B$23,1,0))</f>
        <v>0</v>
      </c>
      <c r="BM78" s="387" t="n">
        <f aca="false">IF(61&lt;5,0,IF(MAX(BH37:BM37)&gt;=$B$23,1,0))</f>
        <v>0</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1409</v>
      </c>
      <c r="B80" s="212"/>
      <c r="C80" s="212"/>
      <c r="D80" s="212"/>
      <c r="E80" s="212"/>
      <c r="F80" s="212"/>
    </row>
    <row r="81" customFormat="false" ht="13.5" hidden="false" customHeight="true" outlineLevel="0" collapsed="false">
      <c r="A81" s="110" t="s">
        <v>1410</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117083.333333333</v>
      </c>
      <c r="R81" s="388" t="n">
        <f aca="false">(SUMPRODUCT($B$49:$B$58,R49:R58)+SUMPRODUCT($B$61:$B$68,R61:R68)+SUMPRODUCT($B$71:$B$74,R71:R74)+SUMPRODUCT($B$77:$B$78,R77:R78)+SUMPRODUCT($B$99:$B$104,R99:R104))/12</f>
        <v>147916.666666667</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168750</v>
      </c>
      <c r="U81" s="388" t="n">
        <f aca="false">(SUMPRODUCT($B$49:$B$58,U49:U58)+SUMPRODUCT($B$61:$B$68,U61:U68)+SUMPRODUCT($B$71:$B$74,U71:U74)+SUMPRODUCT($B$77:$B$78,U77:U78)+SUMPRODUCT($B$99:$B$104,U99:U104))/12</f>
        <v>168750</v>
      </c>
      <c r="V81" s="388" t="n">
        <f aca="false">(SUMPRODUCT($B$49:$B$58,V49:V58)+SUMPRODUCT($B$61:$B$68,V61:V68)+SUMPRODUCT($B$71:$B$74,V71:V74)+SUMPRODUCT($B$77:$B$78,V77:V78)+SUMPRODUCT($B$99:$B$104,V99:V104))/12</f>
        <v>168750</v>
      </c>
      <c r="W81" s="388" t="n">
        <f aca="false">(SUMPRODUCT($B$49:$B$58,W49:W58)+SUMPRODUCT($B$61:$B$68,W61:W68)+SUMPRODUCT($B$71:$B$74,W71:W74)+SUMPRODUCT($B$77:$B$78,W77:W78)+SUMPRODUCT($B$99:$B$104,W99:W104))/12</f>
        <v>168750</v>
      </c>
      <c r="X81" s="388" t="n">
        <f aca="false">(SUMPRODUCT($B$49:$B$58,X49:X58)+SUMPRODUCT($B$61:$B$68,X61:X68)+SUMPRODUCT($B$71:$B$74,X71:X74)+SUMPRODUCT($B$77:$B$78,X77:X78)+SUMPRODUCT($B$99:$B$104,X99:X104))/12</f>
        <v>168750</v>
      </c>
      <c r="Y81" s="388" t="n">
        <f aca="false">(SUMPRODUCT($B$49:$B$58,Y49:Y58)+SUMPRODUCT($B$61:$B$68,Y61:Y68)+SUMPRODUCT($B$71:$B$74,Y71:Y74)+SUMPRODUCT($B$77:$B$78,Y77:Y78)+SUMPRODUCT($B$99:$B$104,Y99:Y104))/12</f>
        <v>168750</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151666.666666667</v>
      </c>
      <c r="AC81" s="388" t="n">
        <f aca="false">(SUMPRODUCT($B$49:$B$58,AC49:AC58)+SUMPRODUCT($B$61:$B$68,AC61:AC68)+SUMPRODUCT($B$71:$B$74,AC71:AC74)+SUMPRODUCT($B$77:$B$78,AC77:AC78)+SUMPRODUCT($B$99:$B$104,AC99:AC104))/12</f>
        <v>151666.666666667</v>
      </c>
      <c r="AD81" s="388" t="n">
        <f aca="false">(SUMPRODUCT($B$49:$B$58,AD49:AD58)+SUMPRODUCT($B$61:$B$68,AD61:AD68)+SUMPRODUCT($B$71:$B$74,AD71:AD74)+SUMPRODUCT($B$77:$B$78,AD77:AD78)+SUMPRODUCT($B$99:$B$104,AD99:AD104))/12</f>
        <v>127916.666666667</v>
      </c>
      <c r="AE81" s="388" t="n">
        <f aca="false">(SUMPRODUCT($B$49:$B$58,AE49:AE58)+SUMPRODUCT($B$61:$B$68,AE61:AE68)+SUMPRODUCT($B$71:$B$74,AE71:AE74)+SUMPRODUCT($B$77:$B$78,AE77:AE78)+SUMPRODUCT($B$99:$B$104,AE99:AE104))/12</f>
        <v>127916.666666667</v>
      </c>
      <c r="AF81" s="388" t="n">
        <f aca="false">(SUMPRODUCT($B$49:$B$58,AF49:AF58)+SUMPRODUCT($B$61:$B$68,AF61:AF68)+SUMPRODUCT($B$71:$B$74,AF71:AF74)+SUMPRODUCT($B$77:$B$78,AF77:AF78)+SUMPRODUCT($B$99:$B$104,AF99:AF104))/12</f>
        <v>127916.666666667</v>
      </c>
      <c r="AG81" s="388" t="n">
        <f aca="false">(SUMPRODUCT($B$49:$B$58,AG49:AG58)+SUMPRODUCT($B$61:$B$68,AG61:AG68)+SUMPRODUCT($B$71:$B$74,AG71:AG74)+SUMPRODUCT($B$77:$B$78,AG77:AG78)+SUMPRODUCT($B$99:$B$104,AG99:AG104))/12</f>
        <v>127916.666666667</v>
      </c>
      <c r="AH81" s="388" t="n">
        <f aca="false">(SUMPRODUCT($B$49:$B$58,AH49:AH58)+SUMPRODUCT($B$61:$B$68,AH61:AH68)+SUMPRODUCT($B$71:$B$74,AH71:AH74)+SUMPRODUCT($B$77:$B$78,AH77:AH78)+SUMPRODUCT($B$99:$B$104,AH99:AH104))/12</f>
        <v>114583.333333333</v>
      </c>
      <c r="AI81" s="388" t="n">
        <f aca="false">(SUMPRODUCT($B$49:$B$58,AI49:AI58)+SUMPRODUCT($B$61:$B$68,AI61:AI68)+SUMPRODUCT($B$71:$B$74,AI71:AI74)+SUMPRODUCT($B$77:$B$78,AI77:AI78)+SUMPRODUCT($B$99:$B$104,AI99:AI104))/12</f>
        <v>114583.333333333</v>
      </c>
      <c r="AJ81" s="388" t="n">
        <f aca="false">(SUMPRODUCT($B$49:$B$58,AJ49:AJ58)+SUMPRODUCT($B$61:$B$68,AJ61:AJ68)+SUMPRODUCT($B$71:$B$74,AJ71:AJ74)+SUMPRODUCT($B$77:$B$78,AJ77:AJ78)+SUMPRODUCT($B$99:$B$104,AJ99:AJ104))/12</f>
        <v>114583.333333333</v>
      </c>
      <c r="AK81" s="388" t="n">
        <f aca="false">(SUMPRODUCT($B$49:$B$58,AK49:AK58)+SUMPRODUCT($B$61:$B$68,AK61:AK68)+SUMPRODUCT($B$71:$B$74,AK71:AK74)+SUMPRODUCT($B$77:$B$78,AK77:AK78)+SUMPRODUCT($B$99:$B$104,AK99:AK104))/12</f>
        <v>114583.333333333</v>
      </c>
      <c r="AL81" s="388" t="n">
        <f aca="false">(SUMPRODUCT($B$49:$B$58,AL49:AL58)+SUMPRODUCT($B$61:$B$68,AL61:AL68)+SUMPRODUCT($B$71:$B$74,AL71:AL74)+SUMPRODUCT($B$77:$B$78,AL77:AL78)+SUMPRODUCT($B$99:$B$104,AL99:AL104))/12</f>
        <v>107916.666666667</v>
      </c>
      <c r="AM81" s="388" t="n">
        <f aca="false">(SUMPRODUCT($B$49:$B$58,AM49:AM58)+SUMPRODUCT($B$61:$B$68,AM61:AM68)+SUMPRODUCT($B$71:$B$74,AM71:AM74)+SUMPRODUCT($B$77:$B$78,AM77:AM78)+SUMPRODUCT($B$99:$B$104,AM99:AM104))/12</f>
        <v>55416.6666666667</v>
      </c>
      <c r="AN81" s="388" t="n">
        <f aca="false">(SUMPRODUCT($B$49:$B$58,AN49:AN58)+SUMPRODUCT($B$61:$B$68,AN61:AN68)+SUMPRODUCT($B$71:$B$74,AN71:AN74)+SUMPRODUCT($B$77:$B$78,AN77:AN78)+SUMPRODUCT($B$99:$B$104,AN99:AN104))/12</f>
        <v>31666.6666666667</v>
      </c>
      <c r="AO81" s="388" t="n">
        <f aca="false">(SUMPRODUCT($B$49:$B$58,AO49:AO58)+SUMPRODUCT($B$61:$B$68,AO61:AO68)+SUMPRODUCT($B$71:$B$74,AO71:AO74)+SUMPRODUCT($B$77:$B$78,AO77:AO78)+SUMPRODUCT($B$99:$B$104,AO99:AO104))/12</f>
        <v>31666.6666666667</v>
      </c>
      <c r="AP81" s="388" t="n">
        <f aca="false">(SUMPRODUCT($B$49:$B$58,AP49:AP58)+SUMPRODUCT($B$61:$B$68,AP61:AP68)+SUMPRODUCT($B$71:$B$74,AP71:AP74)+SUMPRODUCT($B$77:$B$78,AP77:AP78)+SUMPRODUCT($B$99:$B$104,AP99:AP104))/12</f>
        <v>31666.6666666667</v>
      </c>
      <c r="AQ81" s="388" t="n">
        <f aca="false">(SUMPRODUCT($B$49:$B$58,AQ49:AQ58)+SUMPRODUCT($B$61:$B$68,AQ61:AQ68)+SUMPRODUCT($B$71:$B$74,AQ71:AQ74)+SUMPRODUCT($B$77:$B$78,AQ77:AQ78)+SUMPRODUCT($B$99:$B$104,AQ99:AQ104))/12</f>
        <v>10416.6666666667</v>
      </c>
      <c r="AR81" s="388" t="n">
        <f aca="false">(SUMPRODUCT($B$49:$B$58,AR49:AR58)+SUMPRODUCT($B$61:$B$68,AR61:AR68)+SUMPRODUCT($B$71:$B$74,AR71:AR74)+SUMPRODUCT($B$77:$B$78,AR77:AR78)+SUMPRODUCT($B$99:$B$104,AR99:AR104))/12</f>
        <v>10416.6666666667</v>
      </c>
      <c r="AS81" s="388" t="n">
        <f aca="false">(SUMPRODUCT($B$49:$B$58,AS49:AS58)+SUMPRODUCT($B$61:$B$68,AS61:AS68)+SUMPRODUCT($B$71:$B$74,AS71:AS74)+SUMPRODUCT($B$77:$B$78,AS77:AS78)+SUMPRODUCT($B$99:$B$104,AS99:AS104))/12</f>
        <v>0</v>
      </c>
      <c r="AT81" s="388" t="n">
        <f aca="false">(SUMPRODUCT($B$49:$B$58,AT49:AT58)+SUMPRODUCT($B$61:$B$68,AT61:AT68)+SUMPRODUCT($B$71:$B$74,AT71:AT74)+SUMPRODUCT($B$77:$B$78,AT77:AT78)+SUMPRODUCT($B$99:$B$104,AT99:AT104))/12</f>
        <v>0</v>
      </c>
      <c r="AU81" s="388" t="n">
        <f aca="false">(SUMPRODUCT($B$49:$B$58,AU49:AU58)+SUMPRODUCT($B$61:$B$68,AU61:AU68)+SUMPRODUCT($B$71:$B$74,AU71:AU74)+SUMPRODUCT($B$77:$B$78,AU77:AU78)+SUMPRODUCT($B$99:$B$104,AU99:AU104))/12</f>
        <v>0</v>
      </c>
      <c r="AV81" s="388" t="n">
        <f aca="false">(SUMPRODUCT($B$49:$B$58,AV49:AV58)+SUMPRODUCT($B$61:$B$68,AV61:AV68)+SUMPRODUCT($B$71:$B$74,AV71:AV74)+SUMPRODUCT($B$77:$B$78,AV77:AV78)+SUMPRODUCT($B$99:$B$104,AV99:AV104))/12</f>
        <v>0</v>
      </c>
      <c r="AW81" s="388" t="n">
        <f aca="false">(SUMPRODUCT($B$49:$B$58,AW49:AW58)+SUMPRODUCT($B$61:$B$68,AW61:AW68)+SUMPRODUCT($B$71:$B$74,AW71:AW74)+SUMPRODUCT($B$77:$B$78,AW77:AW78)+SUMPRODUCT($B$99:$B$104,AW99:AW104))/12</f>
        <v>0</v>
      </c>
      <c r="AX81" s="388" t="n">
        <f aca="false">(SUMPRODUCT($B$49:$B$58,AX49:AX58)+SUMPRODUCT($B$61:$B$68,AX61:AX68)+SUMPRODUCT($B$71:$B$74,AX71:AX74)+SUMPRODUCT($B$77:$B$78,AX77:AX78)+SUMPRODUCT($B$99:$B$104,AX99:AX104))/12</f>
        <v>0</v>
      </c>
      <c r="AY81" s="388" t="n">
        <f aca="false">(SUMPRODUCT($B$49:$B$58,AY49:AY58)+SUMPRODUCT($B$61:$B$68,AY61:AY68)+SUMPRODUCT($B$71:$B$74,AY71:AY74)+SUMPRODUCT($B$77:$B$78,AY77:AY78)+SUMPRODUCT($B$99:$B$104,AY99:AY104))/12</f>
        <v>0</v>
      </c>
      <c r="AZ81" s="388" t="n">
        <f aca="false">(SUMPRODUCT($B$49:$B$58,AZ49:AZ58)+SUMPRODUCT($B$61:$B$68,AZ61:AZ68)+SUMPRODUCT($B$71:$B$74,AZ71:AZ74)+SUMPRODUCT($B$77:$B$78,AZ77:AZ78)+SUMPRODUCT($B$99:$B$104,AZ99:AZ104))/12</f>
        <v>0</v>
      </c>
      <c r="BA81" s="388" t="n">
        <f aca="false">(SUMPRODUCT($B$49:$B$58,BA49:BA58)+SUMPRODUCT($B$61:$B$68,BA61:BA68)+SUMPRODUCT($B$71:$B$74,BA71:BA74)+SUMPRODUCT($B$77:$B$78,BA77:BA78)+SUMPRODUCT($B$99:$B$104,BA99:BA104))/12</f>
        <v>0</v>
      </c>
      <c r="BB81" s="388" t="n">
        <f aca="false">(SUMPRODUCT($B$49:$B$58,BB49:BB58)+SUMPRODUCT($B$61:$B$68,BB61:BB68)+SUMPRODUCT($B$71:$B$74,BB71:BB74)+SUMPRODUCT($B$77:$B$78,BB77:BB78)+SUMPRODUCT($B$99:$B$104,BB99:BB104))/12</f>
        <v>0</v>
      </c>
      <c r="BC81" s="388" t="n">
        <f aca="false">(SUMPRODUCT($B$49:$B$58,BC49:BC58)+SUMPRODUCT($B$61:$B$68,BC61:BC68)+SUMPRODUCT($B$71:$B$74,BC71:BC74)+SUMPRODUCT($B$77:$B$78,BC77:BC78)+SUMPRODUCT($B$99:$B$104,BC99:BC104))/12</f>
        <v>0</v>
      </c>
      <c r="BD81" s="388" t="n">
        <f aca="false">(SUMPRODUCT($B$49:$B$58,BD49:BD58)+SUMPRODUCT($B$61:$B$68,BD61:BD68)+SUMPRODUCT($B$71:$B$74,BD71:BD74)+SUMPRODUCT($B$77:$B$78,BD77:BD78)+SUMPRODUCT($B$99:$B$104,BD99:BD104))/12</f>
        <v>0</v>
      </c>
      <c r="BE81" s="388" t="n">
        <f aca="false">(SUMPRODUCT($B$49:$B$58,BE49:BE58)+SUMPRODUCT($B$61:$B$68,BE61:BE68)+SUMPRODUCT($B$71:$B$74,BE71:BE74)+SUMPRODUCT($B$77:$B$78,BE77:BE78)+SUMPRODUCT($B$99:$B$104,BE99:BE104))/12</f>
        <v>0</v>
      </c>
      <c r="BF81" s="388" t="n">
        <f aca="false">(SUMPRODUCT($B$49:$B$58,BF49:BF58)+SUMPRODUCT($B$61:$B$68,BF61:BF68)+SUMPRODUCT($B$71:$B$74,BF71:BF74)+SUMPRODUCT($B$77:$B$78,BF77:BF78)+SUMPRODUCT($B$99:$B$104,BF99:BF104))/12</f>
        <v>0</v>
      </c>
      <c r="BG81" s="388" t="n">
        <f aca="false">(SUMPRODUCT($B$49:$B$58,BG49:BG58)+SUMPRODUCT($B$61:$B$68,BG61:BG68)+SUMPRODUCT($B$71:$B$74,BG71:BG74)+SUMPRODUCT($B$77:$B$78,BG77:BG78)+SUMPRODUCT($B$99:$B$104,BG99:BG104))/12</f>
        <v>0</v>
      </c>
      <c r="BH81" s="388" t="n">
        <f aca="false">(SUMPRODUCT($B$49:$B$58,BH49:BH58)+SUMPRODUCT($B$61:$B$68,BH61:BH68)+SUMPRODUCT($B$71:$B$74,BH71:BH74)+SUMPRODUCT($B$77:$B$78,BH77:BH78)+SUMPRODUCT($B$99:$B$104,BH99:BH104))/12</f>
        <v>0</v>
      </c>
      <c r="BI81" s="388" t="n">
        <f aca="false">(SUMPRODUCT($B$49:$B$58,BI49:BI58)+SUMPRODUCT($B$61:$B$68,BI61:BI68)+SUMPRODUCT($B$71:$B$74,BI71:BI74)+SUMPRODUCT($B$77:$B$78,BI77:BI78)+SUMPRODUCT($B$99:$B$104,BI99:BI104))/12</f>
        <v>0</v>
      </c>
      <c r="BJ81" s="388" t="n">
        <f aca="false">(SUMPRODUCT($B$49:$B$58,BJ49:BJ58)+SUMPRODUCT($B$61:$B$68,BJ61:BJ68)+SUMPRODUCT($B$71:$B$74,BJ71:BJ74)+SUMPRODUCT($B$77:$B$78,BJ77:BJ78)+SUMPRODUCT($B$99:$B$104,BJ99:BJ104))/12</f>
        <v>0</v>
      </c>
      <c r="BK81" s="388" t="n">
        <f aca="false">(SUMPRODUCT($B$49:$B$58,BK49:BK58)+SUMPRODUCT($B$61:$B$68,BK61:BK68)+SUMPRODUCT($B$71:$B$74,BK71:BK74)+SUMPRODUCT($B$77:$B$78,BK77:BK78)+SUMPRODUCT($B$99:$B$104,BK99:BK104))/12</f>
        <v>0</v>
      </c>
      <c r="BL81" s="388" t="n">
        <f aca="false">(SUMPRODUCT($B$49:$B$58,BL49:BL58)+SUMPRODUCT($B$61:$B$68,BL61:BL68)+SUMPRODUCT($B$71:$B$74,BL71:BL74)+SUMPRODUCT($B$77:$B$78,BL77:BL78)+SUMPRODUCT($B$99:$B$104,BL99:BL104))/12</f>
        <v>0</v>
      </c>
      <c r="BM81" s="388" t="n">
        <f aca="false">(SUMPRODUCT($B$49:$B$58,BM49:BM58)+SUMPRODUCT($B$61:$B$68,BM61:BM68)+SUMPRODUCT($B$71:$B$74,BM71:BM74)+SUMPRODUCT($B$77:$B$78,BM77:BM78)+SUMPRODUCT($B$99:$B$104,BM99:BM104))/12</f>
        <v>0</v>
      </c>
      <c r="BN81" s="388" t="n">
        <f aca="false">(SUMPRODUCT($B$49:$B$58,BN49:BN58)+SUMPRODUCT($B$61:$B$68,BN61:BN68)+SUMPRODUCT($B$71:$B$74,BN71:BN74)+SUMPRODUCT($B$77:$B$78,BN77:BN78)+SUMPRODUCT($B$99:$B$104,BN99:BN104))/12</f>
        <v>0</v>
      </c>
      <c r="BO81" s="388" t="n">
        <f aca="false">(SUMPRODUCT($B$49:$B$58,BO49:BO58)+SUMPRODUCT($B$61:$B$68,BO61:BO68)+SUMPRODUCT($B$71:$B$74,BO71:BO74)+SUMPRODUCT($B$77:$B$78,BO77:BO78)+SUMPRODUCT($B$99:$B$104,BO99:BO104))/12</f>
        <v>0</v>
      </c>
      <c r="BP81" s="388" t="n">
        <f aca="false">(SUMPRODUCT($B$49:$B$58,BP49:BP58)+SUMPRODUCT($B$61:$B$68,BP61:BP68)+SUMPRODUCT($B$71:$B$74,BP71:BP74)+SUMPRODUCT($B$77:$B$78,BP77:BP78)+SUMPRODUCT($B$99:$B$104,BP99:BP104))/12</f>
        <v>0</v>
      </c>
      <c r="BQ81" s="388" t="n">
        <f aca="false">(SUMPRODUCT($B$49:$B$58,BQ49:BQ58)+SUMPRODUCT($B$61:$B$68,BQ61:BQ68)+SUMPRODUCT($B$71:$B$74,BQ71:BQ74)+SUMPRODUCT($B$77:$B$78,BQ77:BQ78)+SUMPRODUCT($B$99:$B$104,BQ99:BQ104))/12</f>
        <v>0</v>
      </c>
      <c r="BR81" s="388" t="n">
        <f aca="false">(SUMPRODUCT($B$49:$B$58,BR49:BR58)+SUMPRODUCT($B$61:$B$68,BR61:BR68)+SUMPRODUCT($B$71:$B$74,BR71:BR74)+SUMPRODUCT($B$77:$B$78,BR77:BR78)+SUMPRODUCT($B$99:$B$104,BR99:BR104))/12</f>
        <v>0</v>
      </c>
      <c r="BS81" s="388" t="n">
        <f aca="false">(SUMPRODUCT($B$49:$B$58,BS49:BS58)+SUMPRODUCT($B$61:$B$68,BS61:BS68)+SUMPRODUCT($B$71:$B$74,BS71:BS74)+SUMPRODUCT($B$77:$B$78,BS77:BS78)+SUMPRODUCT($B$99:$B$104,BS99:BS104))/12</f>
        <v>0</v>
      </c>
      <c r="BT81" s="388" t="n">
        <f aca="false">(SUMPRODUCT($B$49:$B$58,BT49:BT58)+SUMPRODUCT($B$61:$B$68,BT61:BT68)+SUMPRODUCT($B$71:$B$74,BT71:BT74)+SUMPRODUCT($B$77:$B$78,BT77:BT78)+SUMPRODUCT($B$99:$B$104,BT99:BT104))/12</f>
        <v>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1411</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42750</v>
      </c>
      <c r="R82" s="388" t="n">
        <f aca="false">(SUMPRODUCT($B$49:$B$58,(R49:R58&gt;Q49:Q58)*1)+SUMPRODUCT($B$61:$B$68,(R61:R68&gt;Q61:Q68)*1)+SUMPRODUCT($B$71:$B$74,(R71:R74&gt;Q71:Q74)*1)+SUMPRODUCT($B$77:$B$78,(R77:R78&gt;Q77:Q78)*1)+SUMPRODUCT($B$99:$B$104,(R99:R104&gt;Q99:Q104)*1))*$B$21</f>
        <v>55500</v>
      </c>
      <c r="S82" s="388" t="n">
        <f aca="false">(SUMPRODUCT($B$49:$B$58,(S49:S58&gt;R49:R58)*1)+SUMPRODUCT($B$61:$B$68,(S61:S68&gt;R61:R68)*1)+SUMPRODUCT($B$71:$B$74,(S71:S74&gt;R71:R74)*1)+SUMPRODUCT($B$77:$B$78,(S77:S78&gt;R77:R78)*1)+SUMPRODUCT($B$99:$B$104,(S99:S104&gt;R99:R104)*1))*$B$21</f>
        <v>18750</v>
      </c>
      <c r="T82" s="388" t="n">
        <f aca="false">(SUMPRODUCT($B$49:$B$58,(T49:T58&gt;S49:S58)*1)+SUMPRODUCT($B$61:$B$68,(T61:T68&gt;S61:S68)*1)+SUMPRODUCT($B$71:$B$74,(T71:T74&gt;S71:S74)*1)+SUMPRODUCT($B$77:$B$78,(T77:T78&gt;S77:S78)*1)+SUMPRODUCT($B$99:$B$104,(T99:T104&gt;S99:S104)*1))*$B$21</f>
        <v>18750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1412</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9615.38461538462</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6153.84615384615</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21923.0769230769</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0</v>
      </c>
      <c r="AH83" s="388" t="n">
        <f aca="false">(SUMPRODUCT($B$49:$B$58,(AG49:AG58&gt;AH49:AH58)*1)+SUMPRODUCT($B$61:$B$68,(AG61:AG68&gt;AH61:AH68)*1)+SUMPRODUCT($B$71:$B$74,(AG71:AG74&gt;AH71:AH74)*1)+SUMPRODUCT($B$77:$B$78,(AG77:AG78&gt;AH77:AH78)*1)+SUMPRODUCT($B$99:$B$104,(AG99:AG104&gt;AH99:AH104)*1))*$B$20/52</f>
        <v>12307.6923076923</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6153.84615384615</v>
      </c>
      <c r="AM83" s="388" t="n">
        <f aca="false">(SUMPRODUCT($B$49:$B$58,(AL49:AL58&gt;AM49:AM58)*1)+SUMPRODUCT($B$61:$B$68,(AL61:AL68&gt;AM61:AM68)*1)+SUMPRODUCT($B$71:$B$74,(AL71:AL74&gt;AM71:AM74)*1)+SUMPRODUCT($B$77:$B$78,(AL77:AL78&gt;AM77:AM78)*1)+SUMPRODUCT($B$99:$B$104,(AL99:AL104&gt;AM99:AM104)*1))*$B$20/52</f>
        <v>48461.5384615385</v>
      </c>
      <c r="AN83" s="388" t="n">
        <f aca="false">(SUMPRODUCT($B$49:$B$58,(AM49:AM58&gt;AN49:AN58)*1)+SUMPRODUCT($B$61:$B$68,(AM61:AM68&gt;AN61:AN68)*1)+SUMPRODUCT($B$71:$B$74,(AM71:AM74&gt;AN71:AN74)*1)+SUMPRODUCT($B$77:$B$78,(AM77:AM78&gt;AN77:AN78)*1)+SUMPRODUCT($B$99:$B$104,(AM99:AM104&gt;AN99:AN104)*1))*$B$20/52</f>
        <v>21923.0769230769</v>
      </c>
      <c r="AO83" s="388" t="n">
        <f aca="false">(SUMPRODUCT($B$49:$B$58,(AN49:AN58&gt;AO49:AO58)*1)+SUMPRODUCT($B$61:$B$68,(AN61:AN68&gt;AO61:AO68)*1)+SUMPRODUCT($B$71:$B$74,(AN71:AN74&gt;AO71:AO74)*1)+SUMPRODUCT($B$77:$B$78,(AN77:AN78&gt;AO77:AO78)*1)+SUMPRODUCT($B$99:$B$104,(AN99:AN104&gt;AO99:AO104)*1))*$B$20/52</f>
        <v>0</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19615.3846153846</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9615.38461538462</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0</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0</v>
      </c>
      <c r="BB83" s="388" t="n">
        <f aca="false">(SUMPRODUCT($B$49:$B$58,(BA49:BA58&gt;BB49:BB58)*1)+SUMPRODUCT($B$61:$B$68,(BA61:BA68&gt;BB61:BB68)*1)+SUMPRODUCT($B$71:$B$74,(BA71:BA74&gt;BB71:BB74)*1)+SUMPRODUCT($B$77:$B$78,(BA77:BA78&gt;BB77:BB78)*1)+SUMPRODUCT($B$99:$B$104,(BA99:BA104&gt;BB99:BB104)*1))*$B$20/52</f>
        <v>0</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0</v>
      </c>
      <c r="BN83" s="388" t="n">
        <f aca="false">(SUMPRODUCT($B$49:$B$58,(BM49:BM58&gt;BN49:BN58)*1)+SUMPRODUCT($B$61:$B$68,(BM61:BM68&gt;BN61:BN68)*1)+SUMPRODUCT($B$71:$B$74,(BM71:BM74&gt;BN71:BN74)*1)+SUMPRODUCT($B$77:$B$78,(BM77:BM78&gt;BN77:BN78)*1)+SUMPRODUCT($B$99:$B$104,(BM99:BM104&gt;BN99:BN104)*1))*$B$20/52</f>
        <v>0</v>
      </c>
      <c r="BO83" s="388" t="n">
        <f aca="false">(SUMPRODUCT($B$49:$B$58,(BN49:BN58&gt;BO49:BO58)*1)+SUMPRODUCT($B$61:$B$68,(BN61:BN68&gt;BO61:BO68)*1)+SUMPRODUCT($B$71:$B$74,(BN71:BN74&gt;BO71:BO74)*1)+SUMPRODUCT($B$77:$B$78,(BN77:BN78&gt;BO77:BO78)*1)+SUMPRODUCT($B$99:$B$104,(BN99:BN104&gt;BO99:BO104)*1))*$B$20/52</f>
        <v>0</v>
      </c>
      <c r="BP83" s="388" t="n">
        <f aca="false">(SUMPRODUCT($B$49:$B$58,(BO49:BO58&gt;BP49:BP58)*1)+SUMPRODUCT($B$61:$B$68,(BO61:BO68&gt;BP61:BP68)*1)+SUMPRODUCT($B$71:$B$74,(BO71:BO74&gt;BP71:BP74)*1)+SUMPRODUCT($B$77:$B$78,(BO77:BO78&gt;BP77:BP78)*1)+SUMPRODUCT($B$99:$B$104,(BO99:BO104&gt;BP99:BP104)*1))*$B$20/52</f>
        <v>0</v>
      </c>
      <c r="BQ83" s="388" t="n">
        <f aca="false">(SUMPRODUCT($B$49:$B$58,(BP49:BP58&gt;BQ49:BQ58)*1)+SUMPRODUCT($B$61:$B$68,(BP61:BP68&gt;BQ61:BQ68)*1)+SUMPRODUCT($B$71:$B$74,(BP71:BP74&gt;BQ71:BQ74)*1)+SUMPRODUCT($B$77:$B$78,(BP77:BP78&gt;BQ77:BQ78)*1)+SUMPRODUCT($B$99:$B$104,(BP99:BP104&gt;BQ99:BQ104)*1))*$B$20/52</f>
        <v>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0</v>
      </c>
      <c r="BU83" s="388" t="n">
        <f aca="false">(SUMPRODUCT($B$49:$B$58,(BT49:BT58&gt;BU49:BU58)*1)+SUMPRODUCT($B$61:$B$68,(BT61:BT68&gt;BU61:BU68)*1)+SUMPRODUCT($B$71:$B$74,(BT71:BT74&gt;BU71:BU74)*1)+SUMPRODUCT($B$77:$B$78,(BT77:BT78&gt;BU77:BU78)*1)+SUMPRODUCT($B$99:$B$104,(BT99:BT104&gt;BU99:BU104)*1))*$B$20/52</f>
        <v>0</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1413</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42750</v>
      </c>
      <c r="R84" s="388" t="n">
        <f aca="false">R82+R83</f>
        <v>55500</v>
      </c>
      <c r="S84" s="388" t="n">
        <f aca="false">S82+S83</f>
        <v>18750</v>
      </c>
      <c r="T84" s="388" t="n">
        <f aca="false">T82+T83</f>
        <v>18750</v>
      </c>
      <c r="U84" s="388" t="n">
        <f aca="false">U82+U83</f>
        <v>0</v>
      </c>
      <c r="V84" s="388" t="n">
        <f aca="false">V82+V83</f>
        <v>0</v>
      </c>
      <c r="W84" s="388" t="n">
        <f aca="false">W82+W83</f>
        <v>0</v>
      </c>
      <c r="X84" s="388" t="n">
        <f aca="false">X82+X83</f>
        <v>0</v>
      </c>
      <c r="Y84" s="388" t="n">
        <f aca="false">Y82+Y83</f>
        <v>0</v>
      </c>
      <c r="Z84" s="388" t="n">
        <f aca="false">Z82+Z83</f>
        <v>9615.38461538462</v>
      </c>
      <c r="AA84" s="388" t="n">
        <f aca="false">AA82+AA83</f>
        <v>0</v>
      </c>
      <c r="AB84" s="388" t="n">
        <f aca="false">AB82+AB83</f>
        <v>6153.84615384615</v>
      </c>
      <c r="AC84" s="388" t="n">
        <f aca="false">AC82+AC83</f>
        <v>0</v>
      </c>
      <c r="AD84" s="388" t="n">
        <f aca="false">AD82+AD83</f>
        <v>21923.0769230769</v>
      </c>
      <c r="AE84" s="388" t="n">
        <f aca="false">AE82+AE83</f>
        <v>0</v>
      </c>
      <c r="AF84" s="388" t="n">
        <f aca="false">AF82+AF83</f>
        <v>0</v>
      </c>
      <c r="AG84" s="388" t="n">
        <f aca="false">AG82+AG83</f>
        <v>0</v>
      </c>
      <c r="AH84" s="388" t="n">
        <f aca="false">AH82+AH83</f>
        <v>12307.6923076923</v>
      </c>
      <c r="AI84" s="388" t="n">
        <f aca="false">AI82+AI83</f>
        <v>0</v>
      </c>
      <c r="AJ84" s="388" t="n">
        <f aca="false">AJ82+AJ83</f>
        <v>0</v>
      </c>
      <c r="AK84" s="388" t="n">
        <f aca="false">AK82+AK83</f>
        <v>0</v>
      </c>
      <c r="AL84" s="388" t="n">
        <f aca="false">AL82+AL83</f>
        <v>6153.84615384615</v>
      </c>
      <c r="AM84" s="388" t="n">
        <f aca="false">AM82+AM83</f>
        <v>48461.5384615385</v>
      </c>
      <c r="AN84" s="388" t="n">
        <f aca="false">AN82+AN83</f>
        <v>21923.0769230769</v>
      </c>
      <c r="AO84" s="388" t="n">
        <f aca="false">AO82+AO83</f>
        <v>0</v>
      </c>
      <c r="AP84" s="388" t="n">
        <f aca="false">AP82+AP83</f>
        <v>0</v>
      </c>
      <c r="AQ84" s="388" t="n">
        <f aca="false">AQ82+AQ83</f>
        <v>19615.3846153846</v>
      </c>
      <c r="AR84" s="388" t="n">
        <f aca="false">AR82+AR83</f>
        <v>0</v>
      </c>
      <c r="AS84" s="388" t="n">
        <f aca="false">AS82+AS83</f>
        <v>9615.38461538462</v>
      </c>
      <c r="AT84" s="388" t="n">
        <f aca="false">AT82+AT83</f>
        <v>0</v>
      </c>
      <c r="AU84" s="388" t="n">
        <f aca="false">AU82+AU83</f>
        <v>0</v>
      </c>
      <c r="AV84" s="388" t="n">
        <f aca="false">AV82+AV83</f>
        <v>0</v>
      </c>
      <c r="AW84" s="388" t="n">
        <f aca="false">AW82+AW83</f>
        <v>0</v>
      </c>
      <c r="AX84" s="388" t="n">
        <f aca="false">AX82+AX83</f>
        <v>0</v>
      </c>
      <c r="AY84" s="388" t="n">
        <f aca="false">AY82+AY83</f>
        <v>0</v>
      </c>
      <c r="AZ84" s="388" t="n">
        <f aca="false">AZ82+AZ83</f>
        <v>0</v>
      </c>
      <c r="BA84" s="388" t="n">
        <f aca="false">BA82+BA83</f>
        <v>0</v>
      </c>
      <c r="BB84" s="388" t="n">
        <f aca="false">BB82+BB83</f>
        <v>0</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0</v>
      </c>
      <c r="BL84" s="388" t="n">
        <f aca="false">BL82+BL83</f>
        <v>0</v>
      </c>
      <c r="BM84" s="388" t="n">
        <f aca="false">BM82+BM83</f>
        <v>0</v>
      </c>
      <c r="BN84" s="388" t="n">
        <f aca="false">BN82+BN83</f>
        <v>0</v>
      </c>
      <c r="BO84" s="388" t="n">
        <f aca="false">BO82+BO83</f>
        <v>0</v>
      </c>
      <c r="BP84" s="388" t="n">
        <f aca="false">BP82+BP83</f>
        <v>0</v>
      </c>
      <c r="BQ84" s="388" t="n">
        <f aca="false">BQ82+BQ83</f>
        <v>0</v>
      </c>
      <c r="BR84" s="388" t="n">
        <f aca="false">BR82+BR83</f>
        <v>0</v>
      </c>
      <c r="BS84" s="388" t="n">
        <f aca="false">BS82+BS83</f>
        <v>0</v>
      </c>
      <c r="BT84" s="388" t="n">
        <f aca="false">BT82+BT83</f>
        <v>0</v>
      </c>
      <c r="BU84" s="388" t="n">
        <f aca="false">BU82+BU83</f>
        <v>0</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1414</v>
      </c>
      <c r="B86" s="212"/>
      <c r="C86" s="212"/>
      <c r="D86" s="212"/>
      <c r="E86" s="212"/>
      <c r="F86" s="212"/>
    </row>
    <row r="87" customFormat="false" ht="13.5" hidden="false" customHeight="true" outlineLevel="0" collapsed="false">
      <c r="A87" s="110" t="s">
        <v>1415</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11</v>
      </c>
      <c r="R87" s="386" t="n">
        <f aca="false">R43+SUM(R49:R58)</f>
        <v>12</v>
      </c>
      <c r="S87" s="386" t="n">
        <f aca="false">S43+SUM(S49:S58)</f>
        <v>12</v>
      </c>
      <c r="T87" s="386" t="n">
        <f aca="false">T43+SUM(T49:T58)</f>
        <v>13</v>
      </c>
      <c r="U87" s="386" t="n">
        <f aca="false">U43+SUM(U49:U58)</f>
        <v>13</v>
      </c>
      <c r="V87" s="386" t="n">
        <f aca="false">V43+SUM(V49:V58)</f>
        <v>13</v>
      </c>
      <c r="W87" s="386" t="n">
        <f aca="false">W43+SUM(W49:W58)</f>
        <v>13</v>
      </c>
      <c r="X87" s="386" t="n">
        <f aca="false">X43+SUM(X49:X58)</f>
        <v>13</v>
      </c>
      <c r="Y87" s="386" t="n">
        <f aca="false">Y43+SUM(Y49:Y58)</f>
        <v>13</v>
      </c>
      <c r="Z87" s="386" t="n">
        <f aca="false">Z43+SUM(Z49:Z58)</f>
        <v>12</v>
      </c>
      <c r="AA87" s="386" t="n">
        <f aca="false">AA43+SUM(AA49:AA58)</f>
        <v>12</v>
      </c>
      <c r="AB87" s="386" t="n">
        <f aca="false">AB43+SUM(AB49:AB58)</f>
        <v>12</v>
      </c>
      <c r="AC87" s="386" t="n">
        <f aca="false">AC43+SUM(AC49:AC58)</f>
        <v>12</v>
      </c>
      <c r="AD87" s="386" t="n">
        <f aca="false">AD43+SUM(AD49:AD58)</f>
        <v>11</v>
      </c>
      <c r="AE87" s="386" t="n">
        <f aca="false">AE43+SUM(AE49:AE58)</f>
        <v>11</v>
      </c>
      <c r="AF87" s="386" t="n">
        <f aca="false">AF43+SUM(AF49:AF58)</f>
        <v>11</v>
      </c>
      <c r="AG87" s="386" t="n">
        <f aca="false">AG43+SUM(AG49:AG58)</f>
        <v>11</v>
      </c>
      <c r="AH87" s="386" t="n">
        <f aca="false">AH43+SUM(AH49:AH58)</f>
        <v>10</v>
      </c>
      <c r="AI87" s="386" t="n">
        <f aca="false">AI43+SUM(AI49:AI58)</f>
        <v>10</v>
      </c>
      <c r="AJ87" s="386" t="n">
        <f aca="false">AJ43+SUM(AJ49:AJ58)</f>
        <v>10</v>
      </c>
      <c r="AK87" s="386" t="n">
        <f aca="false">AK43+SUM(AK49:AK58)</f>
        <v>10</v>
      </c>
      <c r="AL87" s="386" t="n">
        <f aca="false">AL43+SUM(AL49:AL58)</f>
        <v>10</v>
      </c>
      <c r="AM87" s="386" t="n">
        <f aca="false">AM43+SUM(AM49:AM58)</f>
        <v>8</v>
      </c>
      <c r="AN87" s="386" t="n">
        <f aca="false">AN43+SUM(AN49:AN58)</f>
        <v>7</v>
      </c>
      <c r="AO87" s="386" t="n">
        <f aca="false">AO43+SUM(AO49:AO58)</f>
        <v>7</v>
      </c>
      <c r="AP87" s="386" t="n">
        <f aca="false">AP43+SUM(AP49:AP58)</f>
        <v>7</v>
      </c>
      <c r="AQ87" s="386" t="n">
        <f aca="false">AQ43+SUM(AQ49:AQ58)</f>
        <v>7</v>
      </c>
      <c r="AR87" s="386" t="n">
        <f aca="false">AR43+SUM(AR49:AR58)</f>
        <v>7</v>
      </c>
      <c r="AS87" s="386" t="n">
        <f aca="false">AS43+SUM(AS49:AS58)</f>
        <v>7</v>
      </c>
      <c r="AT87" s="386" t="n">
        <f aca="false">AT43+SUM(AT49:AT58)</f>
        <v>7</v>
      </c>
      <c r="AU87" s="386" t="n">
        <f aca="false">AU43+SUM(AU49:AU58)</f>
        <v>7</v>
      </c>
      <c r="AV87" s="386" t="n">
        <f aca="false">AV43+SUM(AV49:AV58)</f>
        <v>7</v>
      </c>
      <c r="AW87" s="386" t="n">
        <f aca="false">AW43+SUM(AW49:AW58)</f>
        <v>7</v>
      </c>
      <c r="AX87" s="386" t="n">
        <f aca="false">AX43+SUM(AX49:AX58)</f>
        <v>7</v>
      </c>
      <c r="AY87" s="386" t="n">
        <f aca="false">AY43+SUM(AY49:AY58)</f>
        <v>7</v>
      </c>
      <c r="AZ87" s="386" t="n">
        <f aca="false">AZ43+SUM(AZ49:AZ58)</f>
        <v>7</v>
      </c>
      <c r="BA87" s="386" t="n">
        <f aca="false">BA43+SUM(BA49:BA58)</f>
        <v>7</v>
      </c>
      <c r="BB87" s="386" t="n">
        <f aca="false">BB43+SUM(BB49:BB58)</f>
        <v>7</v>
      </c>
      <c r="BC87" s="386" t="n">
        <f aca="false">BC43+SUM(BC49:BC58)</f>
        <v>7</v>
      </c>
      <c r="BD87" s="386" t="n">
        <f aca="false">BD43+SUM(BD49:BD58)</f>
        <v>7</v>
      </c>
      <c r="BE87" s="386" t="n">
        <f aca="false">BE43+SUM(BE49:BE58)</f>
        <v>7</v>
      </c>
      <c r="BF87" s="386" t="n">
        <f aca="false">BF43+SUM(BF49:BF58)</f>
        <v>7</v>
      </c>
      <c r="BG87" s="386" t="n">
        <f aca="false">BG43+SUM(BG49:BG58)</f>
        <v>7</v>
      </c>
      <c r="BH87" s="386" t="n">
        <f aca="false">BH43+SUM(BH49:BH58)</f>
        <v>7</v>
      </c>
      <c r="BI87" s="386" t="n">
        <f aca="false">BI43+SUM(BI49:BI58)</f>
        <v>7</v>
      </c>
      <c r="BJ87" s="386" t="n">
        <f aca="false">BJ43+SUM(BJ49:BJ58)</f>
        <v>7</v>
      </c>
      <c r="BK87" s="386" t="n">
        <f aca="false">BK43+SUM(BK49:BK58)</f>
        <v>7</v>
      </c>
      <c r="BL87" s="386" t="n">
        <f aca="false">BL43+SUM(BL49:BL58)</f>
        <v>7</v>
      </c>
      <c r="BM87" s="386" t="n">
        <f aca="false">BM43+SUM(BM49:BM58)</f>
        <v>7</v>
      </c>
      <c r="BN87" s="386" t="n">
        <f aca="false">BN43+SUM(BN49:BN58)</f>
        <v>7</v>
      </c>
      <c r="BO87" s="386" t="n">
        <f aca="false">BO43+SUM(BO49:BO58)</f>
        <v>7</v>
      </c>
      <c r="BP87" s="386" t="n">
        <f aca="false">BP43+SUM(BP49:BP58)</f>
        <v>7</v>
      </c>
      <c r="BQ87" s="386" t="n">
        <f aca="false">BQ43+SUM(BQ49:BQ58)</f>
        <v>7</v>
      </c>
      <c r="BR87" s="386" t="n">
        <f aca="false">BR43+SUM(BR49:BR58)</f>
        <v>7</v>
      </c>
      <c r="BS87" s="386" t="n">
        <f aca="false">BS43+SUM(BS49:BS58)</f>
        <v>7</v>
      </c>
      <c r="BT87" s="386" t="n">
        <f aca="false">BT43+SUM(BT49:BT58)</f>
        <v>7</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1416</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1</v>
      </c>
      <c r="S88" s="386" t="n">
        <f aca="false">S37-S87</f>
        <v>2</v>
      </c>
      <c r="T88" s="386" t="n">
        <f aca="false">T37-T87</f>
        <v>1</v>
      </c>
      <c r="U88" s="386" t="n">
        <f aca="false">U37-U87</f>
        <v>1</v>
      </c>
      <c r="V88" s="386" t="n">
        <f aca="false">V37-V87</f>
        <v>0</v>
      </c>
      <c r="W88" s="386" t="n">
        <f aca="false">W37-W87</f>
        <v>-1</v>
      </c>
      <c r="X88" s="386" t="n">
        <f aca="false">X37-X87</f>
        <v>-1</v>
      </c>
      <c r="Y88" s="386" t="n">
        <f aca="false">Y37-Y87</f>
        <v>-1</v>
      </c>
      <c r="Z88" s="386" t="n">
        <f aca="false">Z37-Z87</f>
        <v>0</v>
      </c>
      <c r="AA88" s="386" t="n">
        <f aca="false">AA37-AA87</f>
        <v>0</v>
      </c>
      <c r="AB88" s="386" t="n">
        <f aca="false">AB37-AB87</f>
        <v>-1</v>
      </c>
      <c r="AC88" s="386" t="n">
        <f aca="false">AC37-AC87</f>
        <v>-2</v>
      </c>
      <c r="AD88" s="386" t="n">
        <f aca="false">AD37-AD87</f>
        <v>-1</v>
      </c>
      <c r="AE88" s="386" t="n">
        <f aca="false">AE37-AE87</f>
        <v>0</v>
      </c>
      <c r="AF88" s="386" t="n">
        <f aca="false">AF37-AF87</f>
        <v>0</v>
      </c>
      <c r="AG88" s="386" t="n">
        <f aca="false">AG37-AG87</f>
        <v>-2</v>
      </c>
      <c r="AH88" s="386" t="n">
        <f aca="false">AH37-AH87</f>
        <v>-2</v>
      </c>
      <c r="AI88" s="386" t="n">
        <f aca="false">AI37-AI87</f>
        <v>-2</v>
      </c>
      <c r="AJ88" s="386" t="n">
        <f aca="false">AJ37-AJ87</f>
        <v>-2</v>
      </c>
      <c r="AK88" s="386" t="n">
        <f aca="false">AK37-AK87</f>
        <v>-4</v>
      </c>
      <c r="AL88" s="386" t="n">
        <f aca="false">AL37-AL87</f>
        <v>-5</v>
      </c>
      <c r="AM88" s="386" t="n">
        <f aca="false">AM37-AM87</f>
        <v>-4</v>
      </c>
      <c r="AN88" s="386" t="n">
        <f aca="false">AN37-AN87</f>
        <v>-3</v>
      </c>
      <c r="AO88" s="386" t="n">
        <f aca="false">AO37-AO87</f>
        <v>-4</v>
      </c>
      <c r="AP88" s="386" t="n">
        <f aca="false">AP37-AP87</f>
        <v>-4</v>
      </c>
      <c r="AQ88" s="386" t="n">
        <f aca="false">AQ37-AQ87</f>
        <v>-4</v>
      </c>
      <c r="AR88" s="386" t="n">
        <f aca="false">AR37-AR87</f>
        <v>-4</v>
      </c>
      <c r="AS88" s="386" t="n">
        <f aca="false">AS37-AS87</f>
        <v>-4</v>
      </c>
      <c r="AT88" s="386" t="n">
        <f aca="false">AT37-AT87</f>
        <v>-4</v>
      </c>
      <c r="AU88" s="386" t="n">
        <f aca="false">AU37-AU87</f>
        <v>-5</v>
      </c>
      <c r="AV88" s="386" t="n">
        <f aca="false">AV37-AV87</f>
        <v>-6</v>
      </c>
      <c r="AW88" s="386" t="n">
        <f aca="false">AW37-AW87</f>
        <v>-6</v>
      </c>
      <c r="AX88" s="386" t="n">
        <f aca="false">AX37-AX87</f>
        <v>-6</v>
      </c>
      <c r="AY88" s="386" t="n">
        <f aca="false">AY37-AY87</f>
        <v>-6</v>
      </c>
      <c r="AZ88" s="386" t="n">
        <f aca="false">AZ37-AZ87</f>
        <v>-6</v>
      </c>
      <c r="BA88" s="386" t="n">
        <f aca="false">BA37-BA87</f>
        <v>-6</v>
      </c>
      <c r="BB88" s="386" t="n">
        <f aca="false">BB37-BB87</f>
        <v>-6</v>
      </c>
      <c r="BC88" s="386" t="n">
        <f aca="false">BC37-BC87</f>
        <v>-6</v>
      </c>
      <c r="BD88" s="386" t="n">
        <f aca="false">BD37-BD87</f>
        <v>-6</v>
      </c>
      <c r="BE88" s="386" t="n">
        <f aca="false">BE37-BE87</f>
        <v>-6</v>
      </c>
      <c r="BF88" s="386" t="n">
        <f aca="false">BF37-BF87</f>
        <v>-6</v>
      </c>
      <c r="BG88" s="386" t="n">
        <f aca="false">BG37-BG87</f>
        <v>-6</v>
      </c>
      <c r="BH88" s="386" t="n">
        <f aca="false">BH37-BH87</f>
        <v>-6</v>
      </c>
      <c r="BI88" s="386" t="n">
        <f aca="false">BI37-BI87</f>
        <v>-7</v>
      </c>
      <c r="BJ88" s="386" t="n">
        <f aca="false">BJ37-BJ87</f>
        <v>-7</v>
      </c>
      <c r="BK88" s="386" t="n">
        <f aca="false">BK37-BK87</f>
        <v>-7</v>
      </c>
      <c r="BL88" s="386" t="n">
        <f aca="false">BL37-BL87</f>
        <v>-7</v>
      </c>
      <c r="BM88" s="386" t="n">
        <f aca="false">BM37-BM87</f>
        <v>-7</v>
      </c>
      <c r="BN88" s="386" t="n">
        <f aca="false">BN37-BN87</f>
        <v>-7</v>
      </c>
      <c r="BO88" s="386" t="n">
        <f aca="false">BO37-BO87</f>
        <v>-7</v>
      </c>
      <c r="BP88" s="386" t="n">
        <f aca="false">BP37-BP87</f>
        <v>-7</v>
      </c>
      <c r="BQ88" s="386" t="n">
        <f aca="false">BQ37-BQ87</f>
        <v>-7</v>
      </c>
      <c r="BR88" s="386" t="n">
        <f aca="false">BR37-BR87</f>
        <v>-7</v>
      </c>
      <c r="BS88" s="386" t="n">
        <f aca="false">BS37-BS87</f>
        <v>-7</v>
      </c>
      <c r="BT88" s="386" t="n">
        <f aca="false">BT37-BT87</f>
        <v>-7</v>
      </c>
      <c r="BU88" s="386" t="n">
        <f aca="false">BU37-BU87</f>
        <v>-7</v>
      </c>
      <c r="BV88" s="386" t="n">
        <f aca="false">BV37-BV87</f>
        <v>-7</v>
      </c>
      <c r="BW88" s="386" t="n">
        <f aca="false">BW37-BW87</f>
        <v>-7</v>
      </c>
      <c r="BX88" s="386" t="n">
        <f aca="false">BX37-BX87</f>
        <v>-7</v>
      </c>
      <c r="BY88" s="386" t="n">
        <f aca="false">BY37-BY87</f>
        <v>-7</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1417</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0.6875</v>
      </c>
      <c r="R89" s="386" t="n">
        <f aca="false">(R87+R44+SUM(R61:R68)+R45+SUM(R71:R74))-(R38+R39+R40)</f>
        <v>1.3625</v>
      </c>
      <c r="S89" s="386" t="n">
        <f aca="false">(S87+S44+SUM(S61:S68)+S45+SUM(S71:S74))-(S38+S39+S40)</f>
        <v>0.262499999999999</v>
      </c>
      <c r="T89" s="386" t="n">
        <f aca="false">(T87+T44+SUM(T61:T68)+T45+SUM(T71:T74))-(T38+T39+T40)</f>
        <v>0.162499999999998</v>
      </c>
      <c r="U89" s="386" t="n">
        <f aca="false">(U87+U44+SUM(U61:U68)+U45+SUM(U71:U74))-(U38+U39+U40)</f>
        <v>1.595</v>
      </c>
      <c r="V89" s="386" t="n">
        <f aca="false">(V87+V44+SUM(V61:V68)+V45+SUM(V71:V74))-(V38+V39+V40)</f>
        <v>1.595</v>
      </c>
      <c r="W89" s="386" t="n">
        <f aca="false">(W87+W44+SUM(W61:W68)+W45+SUM(W71:W74))-(W38+W39+W40)</f>
        <v>2.695</v>
      </c>
      <c r="X89" s="386" t="n">
        <f aca="false">(X87+X44+SUM(X61:X68)+X45+SUM(X71:X74))-(X38+X39+X40)</f>
        <v>1.92</v>
      </c>
      <c r="Y89" s="386" t="n">
        <f aca="false">(Y87+Y44+SUM(Y61:Y68)+Y45+SUM(Y71:Y74))-(Y38+Y39+Y40)</f>
        <v>3.245</v>
      </c>
      <c r="Z89" s="386" t="n">
        <f aca="false">(Z87+Z44+SUM(Z61:Z68)+Z45+SUM(Z71:Z74))-(Z38+Z39+Z40)</f>
        <v>2.47</v>
      </c>
      <c r="AA89" s="386" t="n">
        <f aca="false">(AA87+AA44+SUM(AA61:AA68)+AA45+SUM(AA71:AA74))-(AA38+AA39+AA40)</f>
        <v>2.47</v>
      </c>
      <c r="AB89" s="386" t="n">
        <f aca="false">(AB87+AB44+SUM(AB61:AB68)+AB45+SUM(AB71:AB74))-(AB38+AB39+AB40)</f>
        <v>2.47</v>
      </c>
      <c r="AC89" s="386" t="n">
        <f aca="false">(AC87+AC44+SUM(AC61:AC68)+AC45+SUM(AC71:AC74))-(AC38+AC39+AC40)</f>
        <v>3.57</v>
      </c>
      <c r="AD89" s="386" t="n">
        <f aca="false">(AD87+AD44+SUM(AD61:AD68)+AD45+SUM(AD71:AD74))-(AD38+AD39+AD40)</f>
        <v>4.2275</v>
      </c>
      <c r="AE89" s="386" t="n">
        <f aca="false">(AE87+AE44+SUM(AE61:AE68)+AE45+SUM(AE71:AE74))-(AE38+AE39+AE40)</f>
        <v>2.685</v>
      </c>
      <c r="AF89" s="386" t="n">
        <f aca="false">(AF87+AF44+SUM(AF61:AF68)+AF45+SUM(AF71:AF74))-(AF38+AF39+AF40)</f>
        <v>2.685</v>
      </c>
      <c r="AG89" s="386" t="n">
        <f aca="false">(AG87+AG44+SUM(AG61:AG68)+AG45+SUM(AG71:AG74))-(AG38+AG39+AG40)</f>
        <v>2.685</v>
      </c>
      <c r="AH89" s="386" t="n">
        <f aca="false">(AH87+AH44+SUM(AH61:AH68)+AH45+SUM(AH71:AH74))-(AH38+AH39+AH40)</f>
        <v>4.4425</v>
      </c>
      <c r="AI89" s="386" t="n">
        <f aca="false">(AI87+AI44+SUM(AI61:AI68)+AI45+SUM(AI71:AI74))-(AI38+AI39+AI40)</f>
        <v>5.875</v>
      </c>
      <c r="AJ89" s="386" t="n">
        <f aca="false">(AJ87+AJ44+SUM(AJ61:AJ68)+AJ45+SUM(AJ71:AJ74))-(AJ38+AJ39+AJ40)</f>
        <v>6.1</v>
      </c>
      <c r="AK89" s="386" t="n">
        <f aca="false">(AK87+AK44+SUM(AK61:AK68)+AK45+SUM(AK71:AK74))-(AK38+AK39+AK40)</f>
        <v>6.1</v>
      </c>
      <c r="AL89" s="386" t="n">
        <f aca="false">(AL87+AL44+SUM(AL61:AL68)+AL45+SUM(AL71:AL74))-(AL38+AL39+AL40)</f>
        <v>8.8</v>
      </c>
      <c r="AM89" s="386" t="n">
        <f aca="false">(AM87+AM44+SUM(AM61:AM68)+AM45+SUM(AM71:AM74))-(AM38+AM39+AM40)</f>
        <v>5.9</v>
      </c>
      <c r="AN89" s="386" t="n">
        <f aca="false">(AN87+AN44+SUM(AN61:AN68)+AN45+SUM(AN71:AN74))-(AN38+AN39+AN40)</f>
        <v>6</v>
      </c>
      <c r="AO89" s="386" t="n">
        <f aca="false">(AO87+AO44+SUM(AO61:AO68)+AO45+SUM(AO71:AO74))-(AO38+AO39+AO40)</f>
        <v>6</v>
      </c>
      <c r="AP89" s="386" t="n">
        <f aca="false">(AP87+AP44+SUM(AP61:AP68)+AP45+SUM(AP71:AP74))-(AP38+AP39+AP40)</f>
        <v>7.375</v>
      </c>
      <c r="AQ89" s="386" t="n">
        <f aca="false">(AQ87+AQ44+SUM(AQ61:AQ68)+AQ45+SUM(AQ71:AQ74))-(AQ38+AQ39+AQ40)</f>
        <v>6.375</v>
      </c>
      <c r="AR89" s="386" t="n">
        <f aca="false">(AR87+AR44+SUM(AR61:AR68)+AR45+SUM(AR71:AR74))-(AR38+AR39+AR40)</f>
        <v>6.875</v>
      </c>
      <c r="AS89" s="386" t="n">
        <f aca="false">(AS87+AS44+SUM(AS61:AS68)+AS45+SUM(AS71:AS74))-(AS38+AS39+AS40)</f>
        <v>7.375</v>
      </c>
      <c r="AT89" s="386" t="n">
        <f aca="false">(AT87+AT44+SUM(AT61:AT68)+AT45+SUM(AT71:AT74))-(AT38+AT39+AT40)</f>
        <v>7.375</v>
      </c>
      <c r="AU89" s="386" t="n">
        <f aca="false">(AU87+AU44+SUM(AU61:AU68)+AU45+SUM(AU71:AU74))-(AU38+AU39+AU40)</f>
        <v>7.375</v>
      </c>
      <c r="AV89" s="386" t="n">
        <f aca="false">(AV87+AV44+SUM(AV61:AV68)+AV45+SUM(AV71:AV74))-(AV38+AV39+AV40)</f>
        <v>8.75</v>
      </c>
      <c r="AW89" s="386" t="n">
        <f aca="false">(AW87+AW44+SUM(AW61:AW68)+AW45+SUM(AW71:AW74))-(AW38+AW39+AW40)</f>
        <v>10.125</v>
      </c>
      <c r="AX89" s="386" t="n">
        <f aca="false">(AX87+AX44+SUM(AX61:AX68)+AX45+SUM(AX71:AX74))-(AX38+AX39+AX40)</f>
        <v>10.125</v>
      </c>
      <c r="AY89" s="386" t="n">
        <f aca="false">(AY87+AY44+SUM(AY61:AY68)+AY45+SUM(AY71:AY74))-(AY38+AY39+AY40)</f>
        <v>10.125</v>
      </c>
      <c r="AZ89" s="386" t="n">
        <f aca="false">(AZ87+AZ44+SUM(AZ61:AZ68)+AZ45+SUM(AZ71:AZ74))-(AZ38+AZ39+AZ40)</f>
        <v>10.125</v>
      </c>
      <c r="BA89" s="386" t="n">
        <f aca="false">(BA87+BA44+SUM(BA61:BA68)+BA45+SUM(BA71:BA74))-(BA38+BA39+BA40)</f>
        <v>10.125</v>
      </c>
      <c r="BB89" s="386" t="n">
        <f aca="false">(BB87+BB44+SUM(BB61:BB68)+BB45+SUM(BB71:BB74))-(BB38+BB39+BB40)</f>
        <v>10.125</v>
      </c>
      <c r="BC89" s="386" t="n">
        <f aca="false">(BC87+BC44+SUM(BC61:BC68)+BC45+SUM(BC71:BC74))-(BC38+BC39+BC40)</f>
        <v>10.125</v>
      </c>
      <c r="BD89" s="386" t="n">
        <f aca="false">(BD87+BD44+SUM(BD61:BD68)+BD45+SUM(BD71:BD74))-(BD38+BD39+BD40)</f>
        <v>10.125</v>
      </c>
      <c r="BE89" s="386" t="n">
        <f aca="false">(BE87+BE44+SUM(BE61:BE68)+BE45+SUM(BE71:BE74))-(BE38+BE39+BE40)</f>
        <v>10.125</v>
      </c>
      <c r="BF89" s="386" t="n">
        <f aca="false">(BF87+BF44+SUM(BF61:BF68)+BF45+SUM(BF71:BF74))-(BF38+BF39+BF40)</f>
        <v>10.625</v>
      </c>
      <c r="BG89" s="386" t="n">
        <f aca="false">(BG87+BG44+SUM(BG61:BG68)+BG45+SUM(BG71:BG74))-(BG38+BG39+BG40)</f>
        <v>10.625</v>
      </c>
      <c r="BH89" s="386" t="n">
        <f aca="false">(BH87+BH44+SUM(BH61:BH68)+BH45+SUM(BH71:BH74))-(BH38+BH39+BH40)</f>
        <v>10.625</v>
      </c>
      <c r="BI89" s="386" t="n">
        <f aca="false">(BI87+BI44+SUM(BI61:BI68)+BI45+SUM(BI71:BI74))-(BI38+BI39+BI40)</f>
        <v>10.625</v>
      </c>
      <c r="BJ89" s="386" t="n">
        <f aca="false">(BJ87+BJ44+SUM(BJ61:BJ68)+BJ45+SUM(BJ71:BJ74))-(BJ38+BJ39+BJ40)</f>
        <v>12</v>
      </c>
      <c r="BK89" s="386" t="n">
        <f aca="false">(BK87+BK44+SUM(BK61:BK68)+BK45+SUM(BK71:BK74))-(BK38+BK39+BK40)</f>
        <v>12</v>
      </c>
      <c r="BL89" s="386" t="n">
        <f aca="false">(BL87+BL44+SUM(BL61:BL68)+BL45+SUM(BL71:BL74))-(BL38+BL39+BL40)</f>
        <v>12</v>
      </c>
      <c r="BM89" s="386" t="n">
        <f aca="false">(BM87+BM44+SUM(BM61:BM68)+BM45+SUM(BM71:BM74))-(BM38+BM39+BM40)</f>
        <v>12</v>
      </c>
      <c r="BN89" s="386" t="n">
        <f aca="false">(BN87+BN44+SUM(BN61:BN68)+BN45+SUM(BN71:BN74))-(BN38+BN39+BN40)</f>
        <v>12</v>
      </c>
      <c r="BO89" s="386" t="n">
        <f aca="false">(BO87+BO44+SUM(BO61:BO68)+BO45+SUM(BO71:BO74))-(BO38+BO39+BO40)</f>
        <v>12</v>
      </c>
      <c r="BP89" s="386" t="n">
        <f aca="false">(BP87+BP44+SUM(BP61:BP68)+BP45+SUM(BP71:BP74))-(BP38+BP39+BP40)</f>
        <v>12</v>
      </c>
      <c r="BQ89" s="386" t="n">
        <f aca="false">(BQ87+BQ44+SUM(BQ61:BQ68)+BQ45+SUM(BQ71:BQ74))-(BQ38+BQ39+BQ40)</f>
        <v>12</v>
      </c>
      <c r="BR89" s="386" t="n">
        <f aca="false">(BR87+BR44+SUM(BR61:BR68)+BR45+SUM(BR71:BR74))-(BR38+BR39+BR40)</f>
        <v>12</v>
      </c>
      <c r="BS89" s="386" t="n">
        <f aca="false">(BS87+BS44+SUM(BS61:BS68)+BS45+SUM(BS71:BS74))-(BS38+BS39+BS40)</f>
        <v>12</v>
      </c>
      <c r="BT89" s="386" t="n">
        <f aca="false">(BT87+BT44+SUM(BT61:BT68)+BT45+SUM(BT71:BT74))-(BT38+BT39+BT40)</f>
        <v>12</v>
      </c>
      <c r="BU89" s="386" t="n">
        <f aca="false">(BU87+BU44+SUM(BU61:BU68)+BU45+SUM(BU71:BU74))-(BU38+BU39+BU40)</f>
        <v>12</v>
      </c>
      <c r="BV89" s="386" t="n">
        <f aca="false">(BV87+BV44+SUM(BV61:BV68)+BV45+SUM(BV71:BV74))-(BV38+BV39+BV40)</f>
        <v>12</v>
      </c>
      <c r="BW89" s="386" t="n">
        <f aca="false">(BW87+BW44+SUM(BW61:BW68)+BW45+SUM(BW71:BW74))-(BW38+BW39+BW40)</f>
        <v>12</v>
      </c>
      <c r="BX89" s="386" t="n">
        <f aca="false">(BX87+BX44+SUM(BX61:BX68)+BX45+SUM(BX71:BX74))-(BX38+BX39+BX40)</f>
        <v>12</v>
      </c>
      <c r="BY89" s="386" t="n">
        <f aca="false">(BY87+BY44+SUM(BY61:BY68)+BY45+SUM(BY71:BY74))-(BY38+BY39+BY40)</f>
        <v>12</v>
      </c>
      <c r="BZ89" s="386" t="n">
        <f aca="false">(BZ87+BZ44+SUM(BZ61:BZ68)+BZ45+SUM(BZ71:BZ74))-(BZ38+BZ39+BZ40)</f>
        <v>12</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1418</v>
      </c>
      <c r="B91" s="212"/>
    </row>
    <row r="92" customFormat="false" ht="13.5" hidden="false" customHeight="true" outlineLevel="0" collapsed="false">
      <c r="A92" s="110" t="s">
        <v>1419</v>
      </c>
      <c r="B92" s="383" t="n">
        <v>1</v>
      </c>
    </row>
    <row r="93" customFormat="false" ht="13.5" hidden="false" customHeight="true" outlineLevel="0" collapsed="false">
      <c r="A93" s="110" t="s">
        <v>1420</v>
      </c>
      <c r="B93" s="383" t="n">
        <v>0.5</v>
      </c>
    </row>
    <row r="94" customFormat="false" ht="13.5" hidden="false" customHeight="true" outlineLevel="0" collapsed="false">
      <c r="A94" s="110" t="s">
        <v>1421</v>
      </c>
      <c r="B94" s="383" t="n">
        <v>0.33</v>
      </c>
    </row>
    <row r="96" customFormat="false" ht="13.5" hidden="false" customHeight="true" outlineLevel="0" collapsed="false">
      <c r="A96" s="1" t="s">
        <v>1422</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1423</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1424</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0</v>
      </c>
      <c r="AT99" s="387" t="n">
        <f aca="false">IF(42&lt;5,0,IF(MAX(AO96:AT96)&gt;AT97+0+$B$18,1,0))</f>
        <v>0</v>
      </c>
      <c r="AU99" s="387" t="n">
        <f aca="false">IF(43&lt;5,0,IF(MAX(AP96:AU96)&gt;AU97+0+$B$18,1,0))</f>
        <v>0</v>
      </c>
      <c r="AV99" s="387" t="n">
        <f aca="false">IF(44&lt;5,0,IF(MAX(AQ96:AV96)&gt;AV97+0+$B$18,1,0))</f>
        <v>0</v>
      </c>
      <c r="AW99" s="387" t="n">
        <f aca="false">IF(45&lt;5,0,IF(MAX(AR96:AW96)&gt;AW97+0+$B$18,1,0))</f>
        <v>0</v>
      </c>
      <c r="AX99" s="387" t="n">
        <f aca="false">IF(46&lt;5,0,IF(MAX(AS96:AX96)&gt;AX97+0+$B$18,1,0))</f>
        <v>0</v>
      </c>
      <c r="AY99" s="387" t="n">
        <f aca="false">IF(47&lt;5,0,IF(MAX(AT96:AY96)&gt;AY97+0+$B$18,1,0))</f>
        <v>0</v>
      </c>
      <c r="AZ99" s="387" t="n">
        <f aca="false">IF(48&lt;5,0,IF(MAX(AU96:AZ96)&gt;AZ97+0+$B$18,1,0))</f>
        <v>0</v>
      </c>
      <c r="BA99" s="387" t="n">
        <f aca="false">IF(49&lt;5,0,IF(MAX(AV96:BA96)&gt;BA97+0+$B$18,1,0))</f>
        <v>0</v>
      </c>
      <c r="BB99" s="387" t="n">
        <f aca="false">IF(50&lt;5,0,IF(MAX(AW96:BB96)&gt;BB97+0+$B$18,1,0))</f>
        <v>0</v>
      </c>
      <c r="BC99" s="387" t="n">
        <f aca="false">IF(51&lt;5,0,IF(MAX(AX96:BC96)&gt;BC97+0+$B$18,1,0))</f>
        <v>0</v>
      </c>
      <c r="BD99" s="387" t="n">
        <f aca="false">IF(52&lt;5,0,IF(MAX(AY96:BD96)&gt;BD97+0+$B$18,1,0))</f>
        <v>0</v>
      </c>
      <c r="BE99" s="387" t="n">
        <f aca="false">IF(53&lt;5,0,IF(MAX(AZ96:BE96)&gt;BE97+0+$B$18,1,0))</f>
        <v>0</v>
      </c>
      <c r="BF99" s="387" t="n">
        <f aca="false">IF(54&lt;5,0,IF(MAX(BA96:BF96)&gt;BF97+0+$B$18,1,0))</f>
        <v>0</v>
      </c>
      <c r="BG99" s="387" t="n">
        <f aca="false">IF(55&lt;5,0,IF(MAX(BB96:BG96)&gt;BG97+0+$B$18,1,0))</f>
        <v>0</v>
      </c>
      <c r="BH99" s="387" t="n">
        <f aca="false">IF(56&lt;5,0,IF(MAX(BC96:BH96)&gt;BH97+0+$B$18,1,0))</f>
        <v>0</v>
      </c>
      <c r="BI99" s="387" t="n">
        <f aca="false">IF(57&lt;5,0,IF(MAX(BD96:BI96)&gt;BI97+0+$B$18,1,0))</f>
        <v>0</v>
      </c>
      <c r="BJ99" s="387" t="n">
        <f aca="false">IF(58&lt;5,0,IF(MAX(BE96:BJ96)&gt;BJ97+0+$B$18,1,0))</f>
        <v>0</v>
      </c>
      <c r="BK99" s="387" t="n">
        <f aca="false">IF(59&lt;5,0,IF(MAX(BF96:BK96)&gt;BK97+0+$B$18,1,0))</f>
        <v>0</v>
      </c>
      <c r="BL99" s="387" t="n">
        <f aca="false">IF(60&lt;5,0,IF(MAX(BG96:BL96)&gt;BL97+0+$B$18,1,0))</f>
        <v>0</v>
      </c>
      <c r="BM99" s="387" t="n">
        <f aca="false">IF(61&lt;5,0,IF(MAX(BH96:BM96)&gt;BM97+0+$B$18,1,0))</f>
        <v>0</v>
      </c>
      <c r="BN99" s="387" t="n">
        <f aca="false">IF(62&lt;5,0,IF(MAX(BI96:BN96)&gt;BN97+0+$B$18,1,0))</f>
        <v>0</v>
      </c>
      <c r="BO99" s="387" t="n">
        <f aca="false">IF(63&lt;5,0,IF(MAX(BJ96:BO96)&gt;BO97+0+$B$18,1,0))</f>
        <v>0</v>
      </c>
      <c r="BP99" s="387" t="n">
        <f aca="false">IF(64&lt;5,0,IF(MAX(BK96:BP96)&gt;BP97+0+$B$18,1,0))</f>
        <v>0</v>
      </c>
      <c r="BQ99" s="387" t="n">
        <f aca="false">IF(65&lt;5,0,IF(MAX(BL96:BQ96)&gt;BQ97+0+$B$18,1,0))</f>
        <v>0</v>
      </c>
      <c r="BR99" s="387" t="n">
        <f aca="false">IF(66&lt;5,0,IF(MAX(BM96:BR96)&gt;BR97+0+$B$18,1,0))</f>
        <v>0</v>
      </c>
      <c r="BS99" s="387" t="n">
        <f aca="false">IF(67&lt;5,0,IF(MAX(BN96:BS96)&gt;BS97+0+$B$18,1,0))</f>
        <v>0</v>
      </c>
      <c r="BT99" s="387" t="n">
        <f aca="false">IF(68&lt;5,0,IF(MAX(BO96:BT96)&gt;BT97+0+$B$18,1,0))</f>
        <v>0</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1425</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0</v>
      </c>
      <c r="AR100" s="387" t="n">
        <f aca="false">IF(40&lt;5,0,IF(MAX(AM96:AR96)&gt;AR97+1+$B$18,1,0))</f>
        <v>0</v>
      </c>
      <c r="AS100" s="387" t="n">
        <f aca="false">IF(41&lt;5,0,IF(MAX(AN96:AS96)&gt;AS97+1+$B$18,1,0))</f>
        <v>0</v>
      </c>
      <c r="AT100" s="387" t="n">
        <f aca="false">IF(42&lt;5,0,IF(MAX(AO96:AT96)&gt;AT97+1+$B$18,1,0))</f>
        <v>0</v>
      </c>
      <c r="AU100" s="387" t="n">
        <f aca="false">IF(43&lt;5,0,IF(MAX(AP96:AU96)&gt;AU97+1+$B$18,1,0))</f>
        <v>0</v>
      </c>
      <c r="AV100" s="387" t="n">
        <f aca="false">IF(44&lt;5,0,IF(MAX(AQ96:AV96)&gt;AV97+1+$B$18,1,0))</f>
        <v>0</v>
      </c>
      <c r="AW100" s="387" t="n">
        <f aca="false">IF(45&lt;5,0,IF(MAX(AR96:AW96)&gt;AW97+1+$B$18,1,0))</f>
        <v>0</v>
      </c>
      <c r="AX100" s="387" t="n">
        <f aca="false">IF(46&lt;5,0,IF(MAX(AS96:AX96)&gt;AX97+1+$B$18,1,0))</f>
        <v>0</v>
      </c>
      <c r="AY100" s="387" t="n">
        <f aca="false">IF(47&lt;5,0,IF(MAX(AT96:AY96)&gt;AY97+1+$B$18,1,0))</f>
        <v>0</v>
      </c>
      <c r="AZ100" s="387" t="n">
        <f aca="false">IF(48&lt;5,0,IF(MAX(AU96:AZ96)&gt;AZ97+1+$B$18,1,0))</f>
        <v>0</v>
      </c>
      <c r="BA100" s="387" t="n">
        <f aca="false">IF(49&lt;5,0,IF(MAX(AV96:BA96)&gt;BA97+1+$B$18,1,0))</f>
        <v>0</v>
      </c>
      <c r="BB100" s="387" t="n">
        <f aca="false">IF(50&lt;5,0,IF(MAX(AW96:BB96)&gt;BB97+1+$B$18,1,0))</f>
        <v>0</v>
      </c>
      <c r="BC100" s="387" t="n">
        <f aca="false">IF(51&lt;5,0,IF(MAX(AX96:BC96)&gt;BC97+1+$B$18,1,0))</f>
        <v>0</v>
      </c>
      <c r="BD100" s="387" t="n">
        <f aca="false">IF(52&lt;5,0,IF(MAX(AY96:BD96)&gt;BD97+1+$B$18,1,0))</f>
        <v>0</v>
      </c>
      <c r="BE100" s="387" t="n">
        <f aca="false">IF(53&lt;5,0,IF(MAX(AZ96:BE96)&gt;BE97+1+$B$18,1,0))</f>
        <v>0</v>
      </c>
      <c r="BF100" s="387" t="n">
        <f aca="false">IF(54&lt;5,0,IF(MAX(BA96:BF96)&gt;BF97+1+$B$18,1,0))</f>
        <v>0</v>
      </c>
      <c r="BG100" s="387" t="n">
        <f aca="false">IF(55&lt;5,0,IF(MAX(BB96:BG96)&gt;BG97+1+$B$18,1,0))</f>
        <v>0</v>
      </c>
      <c r="BH100" s="387" t="n">
        <f aca="false">IF(56&lt;5,0,IF(MAX(BC96:BH96)&gt;BH97+1+$B$18,1,0))</f>
        <v>0</v>
      </c>
      <c r="BI100" s="387" t="n">
        <f aca="false">IF(57&lt;5,0,IF(MAX(BD96:BI96)&gt;BI97+1+$B$18,1,0))</f>
        <v>0</v>
      </c>
      <c r="BJ100" s="387" t="n">
        <f aca="false">IF(58&lt;5,0,IF(MAX(BE96:BJ96)&gt;BJ97+1+$B$18,1,0))</f>
        <v>0</v>
      </c>
      <c r="BK100" s="387" t="n">
        <f aca="false">IF(59&lt;5,0,IF(MAX(BF96:BK96)&gt;BK97+1+$B$18,1,0))</f>
        <v>0</v>
      </c>
      <c r="BL100" s="387" t="n">
        <f aca="false">IF(60&lt;5,0,IF(MAX(BG96:BL96)&gt;BL97+1+$B$18,1,0))</f>
        <v>0</v>
      </c>
      <c r="BM100" s="387" t="n">
        <f aca="false">IF(61&lt;5,0,IF(MAX(BH96:BM96)&gt;BM97+1+$B$18,1,0))</f>
        <v>0</v>
      </c>
      <c r="BN100" s="387" t="n">
        <f aca="false">IF(62&lt;5,0,IF(MAX(BI96:BN96)&gt;BN97+1+$B$18,1,0))</f>
        <v>0</v>
      </c>
      <c r="BO100" s="387" t="n">
        <f aca="false">IF(63&lt;5,0,IF(MAX(BJ96:BO96)&gt;BO97+1+$B$18,1,0))</f>
        <v>0</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1426</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0</v>
      </c>
      <c r="AO101" s="387" t="n">
        <f aca="false">IF(37&lt;5,0,IF(MAX(AJ96:AO96)&gt;AO97+2+$B$18,1,0))</f>
        <v>0</v>
      </c>
      <c r="AP101" s="387" t="n">
        <f aca="false">IF(38&lt;5,0,IF(MAX(AK96:AP96)&gt;AP97+2+$B$18,1,0))</f>
        <v>0</v>
      </c>
      <c r="AQ101" s="387" t="n">
        <f aca="false">IF(39&lt;5,0,IF(MAX(AL96:AQ96)&gt;AQ97+2+$B$18,1,0))</f>
        <v>0</v>
      </c>
      <c r="AR101" s="387" t="n">
        <f aca="false">IF(40&lt;5,0,IF(MAX(AM96:AR96)&gt;AR97+2+$B$18,1,0))</f>
        <v>0</v>
      </c>
      <c r="AS101" s="387" t="n">
        <f aca="false">IF(41&lt;5,0,IF(MAX(AN96:AS96)&gt;AS97+2+$B$18,1,0))</f>
        <v>0</v>
      </c>
      <c r="AT101" s="387" t="n">
        <f aca="false">IF(42&lt;5,0,IF(MAX(AO96:AT96)&gt;AT97+2+$B$18,1,0))</f>
        <v>0</v>
      </c>
      <c r="AU101" s="387" t="n">
        <f aca="false">IF(43&lt;5,0,IF(MAX(AP96:AU96)&gt;AU97+2+$B$18,1,0))</f>
        <v>0</v>
      </c>
      <c r="AV101" s="387" t="n">
        <f aca="false">IF(44&lt;5,0,IF(MAX(AQ96:AV96)&gt;AV97+2+$B$18,1,0))</f>
        <v>0</v>
      </c>
      <c r="AW101" s="387" t="n">
        <f aca="false">IF(45&lt;5,0,IF(MAX(AR96:AW96)&gt;AW97+2+$B$18,1,0))</f>
        <v>0</v>
      </c>
      <c r="AX101" s="387" t="n">
        <f aca="false">IF(46&lt;5,0,IF(MAX(AS96:AX96)&gt;AX97+2+$B$18,1,0))</f>
        <v>0</v>
      </c>
      <c r="AY101" s="387" t="n">
        <f aca="false">IF(47&lt;5,0,IF(MAX(AT96:AY96)&gt;AY97+2+$B$18,1,0))</f>
        <v>0</v>
      </c>
      <c r="AZ101" s="387" t="n">
        <f aca="false">IF(48&lt;5,0,IF(MAX(AU96:AZ96)&gt;AZ97+2+$B$18,1,0))</f>
        <v>0</v>
      </c>
      <c r="BA101" s="387" t="n">
        <f aca="false">IF(49&lt;5,0,IF(MAX(AV96:BA96)&gt;BA97+2+$B$18,1,0))</f>
        <v>0</v>
      </c>
      <c r="BB101" s="387" t="n">
        <f aca="false">IF(50&lt;5,0,IF(MAX(AW96:BB96)&gt;BB97+2+$B$18,1,0))</f>
        <v>0</v>
      </c>
      <c r="BC101" s="387" t="n">
        <f aca="false">IF(51&lt;5,0,IF(MAX(AX96:BC96)&gt;BC97+2+$B$18,1,0))</f>
        <v>0</v>
      </c>
      <c r="BD101" s="387" t="n">
        <f aca="false">IF(52&lt;5,0,IF(MAX(AY96:BD96)&gt;BD97+2+$B$18,1,0))</f>
        <v>0</v>
      </c>
      <c r="BE101" s="387" t="n">
        <f aca="false">IF(53&lt;5,0,IF(MAX(AZ96:BE96)&gt;BE97+2+$B$18,1,0))</f>
        <v>0</v>
      </c>
      <c r="BF101" s="387" t="n">
        <f aca="false">IF(54&lt;5,0,IF(MAX(BA96:BF96)&gt;BF97+2+$B$18,1,0))</f>
        <v>0</v>
      </c>
      <c r="BG101" s="387" t="n">
        <f aca="false">IF(55&lt;5,0,IF(MAX(BB96:BG96)&gt;BG97+2+$B$18,1,0))</f>
        <v>0</v>
      </c>
      <c r="BH101" s="387" t="n">
        <f aca="false">IF(56&lt;5,0,IF(MAX(BC96:BH96)&gt;BH97+2+$B$18,1,0))</f>
        <v>0</v>
      </c>
      <c r="BI101" s="387" t="n">
        <f aca="false">IF(57&lt;5,0,IF(MAX(BD96:BI96)&gt;BI97+2+$B$18,1,0))</f>
        <v>0</v>
      </c>
      <c r="BJ101" s="387" t="n">
        <f aca="false">IF(58&lt;5,0,IF(MAX(BE96:BJ96)&gt;BJ97+2+$B$18,1,0))</f>
        <v>0</v>
      </c>
      <c r="BK101" s="387" t="n">
        <f aca="false">IF(59&lt;5,0,IF(MAX(BF96:BK96)&gt;BK97+2+$B$18,1,0))</f>
        <v>0</v>
      </c>
      <c r="BL101" s="387" t="n">
        <f aca="false">IF(60&lt;5,0,IF(MAX(BG96:BL96)&gt;BL97+2+$B$18,1,0))</f>
        <v>0</v>
      </c>
      <c r="BM101" s="387" t="n">
        <f aca="false">IF(61&lt;5,0,IF(MAX(BH96:BM96)&gt;BM97+2+$B$18,1,0))</f>
        <v>0</v>
      </c>
      <c r="BN101" s="387" t="n">
        <f aca="false">IF(62&lt;5,0,IF(MAX(BI96:BN96)&gt;BN97+2+$B$18,1,0))</f>
        <v>0</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1427</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0</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0</v>
      </c>
      <c r="AE102" s="387" t="n">
        <f aca="false">IF(27&lt;5,0,IF(MAX(Z96:AE96)&gt;AE97+3+$B$18,1,0))</f>
        <v>0</v>
      </c>
      <c r="AF102" s="387" t="n">
        <f aca="false">IF(28&lt;5,0,IF(MAX(AA96:AF96)&gt;AF97+3+$B$18,1,0))</f>
        <v>0</v>
      </c>
      <c r="AG102" s="387" t="n">
        <f aca="false">IF(29&lt;5,0,IF(MAX(AB96:AG96)&gt;AG97+3+$B$18,1,0))</f>
        <v>0</v>
      </c>
      <c r="AH102" s="387" t="n">
        <f aca="false">IF(30&lt;5,0,IF(MAX(AC96:AH96)&gt;AH97+3+$B$18,1,0))</f>
        <v>0</v>
      </c>
      <c r="AI102" s="387" t="n">
        <f aca="false">IF(31&lt;5,0,IF(MAX(AD96:AI96)&gt;AI97+3+$B$18,1,0))</f>
        <v>0</v>
      </c>
      <c r="AJ102" s="387" t="n">
        <f aca="false">IF(32&lt;5,0,IF(MAX(AE96:AJ96)&gt;AJ97+3+$B$18,1,0))</f>
        <v>0</v>
      </c>
      <c r="AK102" s="387" t="n">
        <f aca="false">IF(33&lt;5,0,IF(MAX(AF96:AK96)&gt;AK97+3+$B$18,1,0))</f>
        <v>0</v>
      </c>
      <c r="AL102" s="387" t="n">
        <f aca="false">IF(34&lt;5,0,IF(MAX(AG96:AL96)&gt;AL97+3+$B$18,1,0))</f>
        <v>0</v>
      </c>
      <c r="AM102" s="387" t="n">
        <f aca="false">IF(35&lt;5,0,IF(MAX(AH96:AM96)&gt;AM97+3+$B$18,1,0))</f>
        <v>0</v>
      </c>
      <c r="AN102" s="387" t="n">
        <f aca="false">IF(36&lt;5,0,IF(MAX(AI96:AN96)&gt;AN97+3+$B$18,1,0))</f>
        <v>0</v>
      </c>
      <c r="AO102" s="387" t="n">
        <f aca="false">IF(37&lt;5,0,IF(MAX(AJ96:AO96)&gt;AO97+3+$B$18,1,0))</f>
        <v>0</v>
      </c>
      <c r="AP102" s="387" t="n">
        <f aca="false">IF(38&lt;5,0,IF(MAX(AK96:AP96)&gt;AP97+3+$B$18,1,0))</f>
        <v>0</v>
      </c>
      <c r="AQ102" s="387" t="n">
        <f aca="false">IF(39&lt;5,0,IF(MAX(AL96:AQ96)&gt;AQ97+3+$B$18,1,0))</f>
        <v>0</v>
      </c>
      <c r="AR102" s="387" t="n">
        <f aca="false">IF(40&lt;5,0,IF(MAX(AM96:AR96)&gt;AR97+3+$B$18,1,0))</f>
        <v>0</v>
      </c>
      <c r="AS102" s="387" t="n">
        <f aca="false">IF(41&lt;5,0,IF(MAX(AN96:AS96)&gt;AS97+3+$B$18,1,0))</f>
        <v>0</v>
      </c>
      <c r="AT102" s="387" t="n">
        <f aca="false">IF(42&lt;5,0,IF(MAX(AO96:AT96)&gt;AT97+3+$B$18,1,0))</f>
        <v>0</v>
      </c>
      <c r="AU102" s="387" t="n">
        <f aca="false">IF(43&lt;5,0,IF(MAX(AP96:AU96)&gt;AU97+3+$B$18,1,0))</f>
        <v>0</v>
      </c>
      <c r="AV102" s="387" t="n">
        <f aca="false">IF(44&lt;5,0,IF(MAX(AQ96:AV96)&gt;AV97+3+$B$18,1,0))</f>
        <v>0</v>
      </c>
      <c r="AW102" s="387" t="n">
        <f aca="false">IF(45&lt;5,0,IF(MAX(AR96:AW96)&gt;AW97+3+$B$18,1,0))</f>
        <v>0</v>
      </c>
      <c r="AX102" s="387" t="n">
        <f aca="false">IF(46&lt;5,0,IF(MAX(AS96:AX96)&gt;AX97+3+$B$18,1,0))</f>
        <v>0</v>
      </c>
      <c r="AY102" s="387" t="n">
        <f aca="false">IF(47&lt;5,0,IF(MAX(AT96:AY96)&gt;AY97+3+$B$18,1,0))</f>
        <v>0</v>
      </c>
      <c r="AZ102" s="387" t="n">
        <f aca="false">IF(48&lt;5,0,IF(MAX(AU96:AZ96)&gt;AZ97+3+$B$18,1,0))</f>
        <v>0</v>
      </c>
      <c r="BA102" s="387" t="n">
        <f aca="false">IF(49&lt;5,0,IF(MAX(AV96:BA96)&gt;BA97+3+$B$18,1,0))</f>
        <v>0</v>
      </c>
      <c r="BB102" s="387" t="n">
        <f aca="false">IF(50&lt;5,0,IF(MAX(AW96:BB96)&gt;BB97+3+$B$18,1,0))</f>
        <v>0</v>
      </c>
      <c r="BC102" s="387" t="n">
        <f aca="false">IF(51&lt;5,0,IF(MAX(AX96:BC96)&gt;BC97+3+$B$18,1,0))</f>
        <v>0</v>
      </c>
      <c r="BD102" s="387" t="n">
        <f aca="false">IF(52&lt;5,0,IF(MAX(AY96:BD96)&gt;BD97+3+$B$18,1,0))</f>
        <v>0</v>
      </c>
      <c r="BE102" s="387" t="n">
        <f aca="false">IF(53&lt;5,0,IF(MAX(AZ96:BE96)&gt;BE97+3+$B$18,1,0))</f>
        <v>0</v>
      </c>
      <c r="BF102" s="387" t="n">
        <f aca="false">IF(54&lt;5,0,IF(MAX(BA96:BF96)&gt;BF97+3+$B$18,1,0))</f>
        <v>0</v>
      </c>
      <c r="BG102" s="387" t="n">
        <f aca="false">IF(55&lt;5,0,IF(MAX(BB96:BG96)&gt;BG97+3+$B$18,1,0))</f>
        <v>0</v>
      </c>
      <c r="BH102" s="387" t="n">
        <f aca="false">IF(56&lt;5,0,IF(MAX(BC96:BH96)&gt;BH97+3+$B$18,1,0))</f>
        <v>0</v>
      </c>
      <c r="BI102" s="387" t="n">
        <f aca="false">IF(57&lt;5,0,IF(MAX(BD96:BI96)&gt;BI97+3+$B$18,1,0))</f>
        <v>0</v>
      </c>
      <c r="BJ102" s="387" t="n">
        <f aca="false">IF(58&lt;5,0,IF(MAX(BE96:BJ96)&gt;BJ97+3+$B$18,1,0))</f>
        <v>0</v>
      </c>
      <c r="BK102" s="387" t="n">
        <f aca="false">IF(59&lt;5,0,IF(MAX(BF96:BK96)&gt;BK97+3+$B$18,1,0))</f>
        <v>0</v>
      </c>
      <c r="BL102" s="387" t="n">
        <f aca="false">IF(60&lt;5,0,IF(MAX(BG96:BL96)&gt;BL97+3+$B$18,1,0))</f>
        <v>0</v>
      </c>
      <c r="BM102" s="387" t="n">
        <f aca="false">IF(61&lt;5,0,IF(MAX(BH96:BM96)&gt;BM97+3+$B$18,1,0))</f>
        <v>0</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1428</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0</v>
      </c>
      <c r="AK103" s="387" t="n">
        <f aca="false">IF(33&lt;5,0,IF(MAX(AF96:AK96)&gt;AK97+4+$B$18,1,0))</f>
        <v>0</v>
      </c>
      <c r="AL103" s="387" t="n">
        <f aca="false">IF(34&lt;5,0,IF(MAX(AG96:AL96)&gt;AL97+4+$B$18,1,0))</f>
        <v>0</v>
      </c>
      <c r="AM103" s="387" t="n">
        <f aca="false">IF(35&lt;5,0,IF(MAX(AH96:AM96)&gt;AM97+4+$B$18,1,0))</f>
        <v>0</v>
      </c>
      <c r="AN103" s="387" t="n">
        <f aca="false">IF(36&lt;5,0,IF(MAX(AI96:AN96)&gt;AN97+4+$B$18,1,0))</f>
        <v>0</v>
      </c>
      <c r="AO103" s="387" t="n">
        <f aca="false">IF(37&lt;5,0,IF(MAX(AJ96:AO96)&gt;AO97+4+$B$18,1,0))</f>
        <v>0</v>
      </c>
      <c r="AP103" s="387" t="n">
        <f aca="false">IF(38&lt;5,0,IF(MAX(AK96:AP96)&gt;AP97+4+$B$18,1,0))</f>
        <v>0</v>
      </c>
      <c r="AQ103" s="387" t="n">
        <f aca="false">IF(39&lt;5,0,IF(MAX(AL96:AQ96)&gt;AQ97+4+$B$18,1,0))</f>
        <v>0</v>
      </c>
      <c r="AR103" s="387" t="n">
        <f aca="false">IF(40&lt;5,0,IF(MAX(AM96:AR96)&gt;AR97+4+$B$18,1,0))</f>
        <v>0</v>
      </c>
      <c r="AS103" s="387" t="n">
        <f aca="false">IF(41&lt;5,0,IF(MAX(AN96:AS96)&gt;AS97+4+$B$18,1,0))</f>
        <v>0</v>
      </c>
      <c r="AT103" s="387" t="n">
        <f aca="false">IF(42&lt;5,0,IF(MAX(AO96:AT96)&gt;AT97+4+$B$18,1,0))</f>
        <v>0</v>
      </c>
      <c r="AU103" s="387" t="n">
        <f aca="false">IF(43&lt;5,0,IF(MAX(AP96:AU96)&gt;AU97+4+$B$18,1,0))</f>
        <v>0</v>
      </c>
      <c r="AV103" s="387" t="n">
        <f aca="false">IF(44&lt;5,0,IF(MAX(AQ96:AV96)&gt;AV97+4+$B$18,1,0))</f>
        <v>0</v>
      </c>
      <c r="AW103" s="387" t="n">
        <f aca="false">IF(45&lt;5,0,IF(MAX(AR96:AW96)&gt;AW97+4+$B$18,1,0))</f>
        <v>0</v>
      </c>
      <c r="AX103" s="387" t="n">
        <f aca="false">IF(46&lt;5,0,IF(MAX(AS96:AX96)&gt;AX97+4+$B$18,1,0))</f>
        <v>0</v>
      </c>
      <c r="AY103" s="387" t="n">
        <f aca="false">IF(47&lt;5,0,IF(MAX(AT96:AY96)&gt;AY97+4+$B$18,1,0))</f>
        <v>0</v>
      </c>
      <c r="AZ103" s="387" t="n">
        <f aca="false">IF(48&lt;5,0,IF(MAX(AU96:AZ96)&gt;AZ97+4+$B$18,1,0))</f>
        <v>0</v>
      </c>
      <c r="BA103" s="387" t="n">
        <f aca="false">IF(49&lt;5,0,IF(MAX(AV96:BA96)&gt;BA97+4+$B$18,1,0))</f>
        <v>0</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1429</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0</v>
      </c>
      <c r="AV104" s="387" t="n">
        <f aca="false">IF(44&lt;5,0,IF(MAX(AQ96:AV96)&gt;AV97+5+$B$18,1,0))</f>
        <v>0</v>
      </c>
      <c r="AW104" s="387" t="n">
        <f aca="false">IF(45&lt;5,0,IF(MAX(AR96:AW96)&gt;AW97+5+$B$18,1,0))</f>
        <v>0</v>
      </c>
      <c r="AX104" s="387" t="n">
        <f aca="false">IF(46&lt;5,0,IF(MAX(AS96:AX96)&gt;AX97+5+$B$18,1,0))</f>
        <v>0</v>
      </c>
      <c r="AY104" s="387" t="n">
        <f aca="false">IF(47&lt;5,0,IF(MAX(AT96:AY96)&gt;AY97+5+$B$18,1,0))</f>
        <v>0</v>
      </c>
      <c r="AZ104" s="387" t="n">
        <f aca="false">IF(48&lt;5,0,IF(MAX(AU96:AZ96)&gt;AZ97+5+$B$18,1,0))</f>
        <v>0</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1430</v>
      </c>
      <c r="B106" s="383" t="n">
        <v>3</v>
      </c>
    </row>
    <row r="107" customFormat="false" ht="13.5" hidden="false" customHeight="true" outlineLevel="0" collapsed="false">
      <c r="A107" s="110" t="s">
        <v>1431</v>
      </c>
      <c r="B107" s="383" t="n">
        <v>0.5</v>
      </c>
    </row>
    <row r="108" customFormat="false" ht="13.5" hidden="false" customHeight="true" outlineLevel="0" collapsed="false">
      <c r="A108" s="1" t="s">
        <v>1432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1433</v>
      </c>
    </row>
    <row r="2" customFormat="false" ht="13.5" hidden="false" customHeight="true" outlineLevel="0" collapsed="false">
      <c r="A2" s="389" t="s">
        <v>1434</v>
      </c>
    </row>
    <row r="3" customFormat="false" ht="15" hidden="false" customHeight="true" outlineLevel="0" collapsed="false">
      <c r="A3" s="390" t="s">
        <v>1435</v>
      </c>
    </row>
    <row r="4" customFormat="false" ht="15" hidden="false" customHeight="true" outlineLevel="0" collapsed="false">
      <c r="A4" s="120" t="s">
        <v>1436</v>
      </c>
      <c r="C4" s="391" t="n">
        <f aca="false">Assumptions!$B$15</f>
        <v>0.015</v>
      </c>
      <c r="D4" s="392" t="s">
        <v>1437</v>
      </c>
    </row>
    <row r="5" customFormat="false" ht="15" hidden="false" customHeight="true" outlineLevel="0" collapsed="false">
      <c r="A5" s="120" t="s">
        <v>1438</v>
      </c>
      <c r="C5" s="393" t="n">
        <f aca="false">95034/12993776.05</f>
        <v>0.00731380929102591</v>
      </c>
      <c r="D5" s="392" t="s">
        <v>1439</v>
      </c>
    </row>
    <row r="6" customFormat="false" ht="15" hidden="false" customHeight="true" outlineLevel="0" collapsed="false">
      <c r="A6" s="120" t="s">
        <v>1440</v>
      </c>
      <c r="C6" s="391" t="n">
        <f aca="false">Assumptions!$B$17</f>
        <v>0.0325</v>
      </c>
      <c r="D6" s="392" t="s">
        <v>1441</v>
      </c>
    </row>
    <row r="7" customFormat="false" ht="15" hidden="false" customHeight="true" outlineLevel="0" collapsed="false">
      <c r="A7" s="120" t="s">
        <v>1442</v>
      </c>
      <c r="C7" s="394" t="n">
        <v>1800000</v>
      </c>
      <c r="D7" s="392" t="s">
        <v>1443</v>
      </c>
      <c r="F7" s="120" t="s">
        <v>1444</v>
      </c>
      <c r="H7" s="395" t="n">
        <f aca="false">SUMPRODUCT(($S$11:$S$54=1)*($H$11:$H$54&lt;=$C$8)*$Z$11:$Z$54)</f>
        <v>692876.895125</v>
      </c>
    </row>
    <row r="8" customFormat="false" ht="15" hidden="false" customHeight="true" outlineLevel="0" collapsed="false">
      <c r="A8" s="120" t="s">
        <v>1445</v>
      </c>
      <c r="C8" s="396" t="n">
        <f aca="false">SUMPRODUCT(--(Model!$B$4:$DE$4="Actuals"))-3</f>
        <v>5</v>
      </c>
      <c r="D8" s="392" t="s">
        <v>1446</v>
      </c>
      <c r="F8" s="120" t="s">
        <v>1447</v>
      </c>
      <c r="H8" s="395" t="n">
        <f aca="false">SUMIFS($O$11:$O$54,$H$11:$H$54,"&lt;="&amp;$C$8)</f>
        <v>0</v>
      </c>
    </row>
    <row r="9" customFormat="false" ht="15" hidden="false" customHeight="true" outlineLevel="0" collapsed="false">
      <c r="A9" s="120" t="s">
        <v>1448</v>
      </c>
      <c r="C9" s="397" t="n">
        <f aca="false">SUM(AC11:AC54)</f>
        <v>692876.895125</v>
      </c>
      <c r="D9" s="392" t="s">
        <v>1449</v>
      </c>
      <c r="F9" s="120" t="s">
        <v>1450</v>
      </c>
      <c r="H9" s="398" t="n">
        <v>10</v>
      </c>
    </row>
    <row r="10" customFormat="false" ht="48" hidden="false" customHeight="true" outlineLevel="0" collapsed="false">
      <c r="A10" s="176" t="s">
        <v>457</v>
      </c>
      <c r="B10" s="176" t="s">
        <v>1451</v>
      </c>
      <c r="C10" s="176" t="s">
        <v>555</v>
      </c>
      <c r="D10" s="176" t="s">
        <v>556</v>
      </c>
      <c r="E10" s="176" t="s">
        <v>1452</v>
      </c>
      <c r="F10" s="176" t="s">
        <v>1453</v>
      </c>
      <c r="G10" s="176" t="s">
        <v>1454</v>
      </c>
      <c r="H10" s="176" t="s">
        <v>1455</v>
      </c>
      <c r="I10" s="176" t="s">
        <v>1456</v>
      </c>
      <c r="J10" s="176" t="s">
        <v>1457</v>
      </c>
      <c r="K10" s="176" t="s">
        <v>1458</v>
      </c>
      <c r="L10" s="176" t="s">
        <v>1459</v>
      </c>
      <c r="M10" s="176" t="s">
        <v>1458</v>
      </c>
      <c r="N10" s="176" t="s">
        <v>1460</v>
      </c>
      <c r="O10" s="176" t="s">
        <v>1461</v>
      </c>
      <c r="P10" s="176" t="s">
        <v>1458</v>
      </c>
      <c r="Q10" s="176" t="s">
        <v>1462</v>
      </c>
      <c r="R10" s="176" t="s">
        <v>1463</v>
      </c>
      <c r="S10" s="176" t="s">
        <v>1464</v>
      </c>
      <c r="T10" s="176" t="s">
        <v>1465</v>
      </c>
      <c r="U10" s="176" t="s">
        <v>1466</v>
      </c>
      <c r="V10" s="176" t="s">
        <v>1467</v>
      </c>
      <c r="W10" s="176" t="s">
        <v>1468</v>
      </c>
      <c r="X10" s="176" t="s">
        <v>1469</v>
      </c>
      <c r="Y10" s="176" t="s">
        <v>1470</v>
      </c>
      <c r="Z10" s="176" t="s">
        <v>1471</v>
      </c>
      <c r="AA10" s="176" t="s">
        <v>1472</v>
      </c>
      <c r="AB10" s="176" t="s">
        <v>1473</v>
      </c>
      <c r="AC10" s="176" t="s">
        <v>1474</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1475</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1475</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1476</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1477</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1478</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1479</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Dickens</v>
      </c>
      <c r="B24" s="400"/>
      <c r="C24" s="409" t="str">
        <f aca="false">Projects!$F$17</f>
        <v>Yes</v>
      </c>
      <c r="D24" s="409" t="str">
        <f aca="false">Projects!$G$17</f>
        <v>Yes</v>
      </c>
      <c r="E24" s="402"/>
      <c r="F24" s="410" t="n">
        <f aca="false">IF($E24&lt;&gt;"",$E24,Projects!$B$17)</f>
        <v>15316015</v>
      </c>
      <c r="G24" s="400"/>
      <c r="H24" s="411" t="n">
        <f aca="false">IF($G24&lt;&gt;"",$G24,Projects!$C$17)</f>
        <v>14</v>
      </c>
      <c r="I24" s="405"/>
      <c r="J24" s="402"/>
      <c r="K24" s="400"/>
      <c r="L24" s="402"/>
      <c r="M24" s="400"/>
      <c r="N24" s="405"/>
      <c r="O24" s="402"/>
      <c r="P24" s="400"/>
      <c r="Q24" s="402"/>
      <c r="R24" s="400"/>
      <c r="S24" s="411" t="n">
        <f aca="false">IF(AND($C24="Yes",$D24="Yes"),1,0)</f>
        <v>1</v>
      </c>
      <c r="T24" s="410" t="n">
        <f aca="false">$S24*IF($J24&lt;&gt;"",$J24,$F24*IF($I24&lt;&gt;"",$I24,$C$4)/(1+IF($I24&lt;&gt;"",$I24,$C$4)))</f>
        <v>226345.049261084</v>
      </c>
      <c r="U24" s="410" t="n">
        <f aca="false">$S24*IF($L24&lt;&gt;"",$L24,$F24*$C$5)</f>
        <v>112018.412808492</v>
      </c>
      <c r="V24" s="410" t="n">
        <f aca="false">$S24*$F24*IF($N24&lt;&gt;"",$N24,$C$6)</f>
        <v>497770.4875</v>
      </c>
      <c r="W24" s="410" t="n">
        <f aca="false">MAX(0,$V24-$U24)</f>
        <v>385752.074691508</v>
      </c>
      <c r="X24" s="411" t="n">
        <f aca="false">IF($B24&lt;&gt;"",$B24,100+$H24)</f>
        <v>114</v>
      </c>
      <c r="Y24" s="410" t="n">
        <f aca="false">$S24*MAX(0,MIN($W24,$C$7-SUMIFS($W$11:$W$54,$X$11:$X$54,"&lt;"&amp;$X24)))</f>
        <v>0</v>
      </c>
      <c r="Z24" s="410" t="n">
        <f aca="false">$W24-$Y24</f>
        <v>385752.074691508</v>
      </c>
      <c r="AA24" s="412" t="n">
        <f aca="false">$S24*($T24-$U24-$Z24)</f>
        <v>-271425.438238916</v>
      </c>
      <c r="AB24" s="412" t="n">
        <f aca="false">$S24*($T24-$U24)</f>
        <v>114326.636452592</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11317385</v>
      </c>
      <c r="G25" s="400"/>
      <c r="H25" s="404" t="n">
        <f aca="false">IF($G25&lt;&gt;"",$G25,Projects!$C$18)</f>
        <v>15</v>
      </c>
      <c r="I25" s="405"/>
      <c r="J25" s="402"/>
      <c r="K25" s="400"/>
      <c r="L25" s="402"/>
      <c r="M25" s="400"/>
      <c r="N25" s="405"/>
      <c r="O25" s="402"/>
      <c r="P25" s="400"/>
      <c r="Q25" s="402"/>
      <c r="R25" s="400"/>
      <c r="S25" s="404" t="n">
        <f aca="false">IF(AND($C25="Yes",$D25="Yes"),1,0)</f>
        <v>1</v>
      </c>
      <c r="T25" s="403" t="n">
        <f aca="false">$S25*IF($J25&lt;&gt;"",$J25,$F25*IF($I25&lt;&gt;"",$I25,$C$4)/(1+IF($I25&lt;&gt;"",$I25,$C$4)))</f>
        <v>167251.995073892</v>
      </c>
      <c r="U25" s="403" t="n">
        <f aca="false">$S25*IF($L25&lt;&gt;"",$L25,$F25*$C$5)</f>
        <v>82773.1955631173</v>
      </c>
      <c r="V25" s="403" t="n">
        <f aca="false">$S25*$F25*IF($N25&lt;&gt;"",$N25,$C$6)</f>
        <v>367815.0125</v>
      </c>
      <c r="W25" s="403" t="n">
        <f aca="false">MAX(0,$V25-$U25)</f>
        <v>285041.816936883</v>
      </c>
      <c r="X25" s="404" t="n">
        <f aca="false">IF($B25&lt;&gt;"",$B25,100+$H25)</f>
        <v>115</v>
      </c>
      <c r="Y25" s="403" t="n">
        <f aca="false">$S25*MAX(0,MIN($W25,$C$7-SUMIFS($W$11:$W$54,$X$11:$X$54,"&lt;"&amp;$X25)))</f>
        <v>0</v>
      </c>
      <c r="Z25" s="403" t="n">
        <f aca="false">$W25-$Y25</f>
        <v>285041.816936883</v>
      </c>
      <c r="AA25" s="406" t="n">
        <f aca="false">$S25*($T25-$U25-$Z25)</f>
        <v>-200563.017426108</v>
      </c>
      <c r="AB25" s="406" t="n">
        <f aca="false">$S25*($T25-$U25)</f>
        <v>84478.7995107743</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18442769</v>
      </c>
      <c r="G26" s="400"/>
      <c r="H26" s="411" t="n">
        <f aca="false">IF($G26&lt;&gt;"",$G26,Projects!$C$19)</f>
        <v>16</v>
      </c>
      <c r="I26" s="405"/>
      <c r="J26" s="402"/>
      <c r="K26" s="400"/>
      <c r="L26" s="402"/>
      <c r="M26" s="400"/>
      <c r="N26" s="405"/>
      <c r="O26" s="402"/>
      <c r="P26" s="400"/>
      <c r="Q26" s="402"/>
      <c r="R26" s="400"/>
      <c r="S26" s="411" t="n">
        <f aca="false">IF(AND($C26="Yes",$D26="Yes"),1,0)</f>
        <v>1</v>
      </c>
      <c r="T26" s="410" t="n">
        <f aca="false">$S26*IF($J26&lt;&gt;"",$J26,$F26*IF($I26&lt;&gt;"",$I26,$C$4)/(1+IF($I26&lt;&gt;"",$I26,$C$4)))</f>
        <v>272553.236453202</v>
      </c>
      <c r="U26" s="410" t="n">
        <f aca="false">$S26*IF($L26&lt;&gt;"",$L26,$F26*$C$5)</f>
        <v>134886.895264445</v>
      </c>
      <c r="V26" s="410" t="n">
        <f aca="false">$S26*$F26*IF($N26&lt;&gt;"",$N26,$C$6)</f>
        <v>599389.9925</v>
      </c>
      <c r="W26" s="410" t="n">
        <f aca="false">MAX(0,$V26-$U26)</f>
        <v>464503.097235555</v>
      </c>
      <c r="X26" s="411" t="n">
        <f aca="false">IF($B26&lt;&gt;"",$B26,100+$H26)</f>
        <v>116</v>
      </c>
      <c r="Y26" s="410" t="n">
        <f aca="false">$S26*MAX(0,MIN($W26,$C$7-SUMIFS($W$11:$W$54,$X$11:$X$54,"&lt;"&amp;$X26)))</f>
        <v>0</v>
      </c>
      <c r="Z26" s="410" t="n">
        <f aca="false">$W26-$Y26</f>
        <v>464503.097235555</v>
      </c>
      <c r="AA26" s="412" t="n">
        <f aca="false">$S26*($T26-$U26-$Z26)</f>
        <v>-326836.756046798</v>
      </c>
      <c r="AB26" s="412" t="n">
        <f aca="false">$S26*($T26-$U26)</f>
        <v>137666.341188757</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BD-06</v>
      </c>
      <c r="B29" s="400"/>
      <c r="C29" s="401" t="str">
        <f aca="false">Projects!$F$22</f>
        <v>No</v>
      </c>
      <c r="D29" s="401" t="str">
        <f aca="false">Projects!$G$22</f>
        <v>No</v>
      </c>
      <c r="E29" s="402"/>
      <c r="F29" s="403" t="n">
        <f aca="false">IF($E29&lt;&gt;"",$E29,Projects!$B$22)</f>
        <v>15000000</v>
      </c>
      <c r="G29" s="400"/>
      <c r="H29" s="404" t="n">
        <f aca="false">IF($G29&lt;&gt;"",$G29,Projects!$C$22)</f>
        <v>31</v>
      </c>
      <c r="I29" s="405"/>
      <c r="J29" s="402"/>
      <c r="K29" s="400"/>
      <c r="L29" s="402"/>
      <c r="M29" s="400"/>
      <c r="N29" s="405"/>
      <c r="O29" s="402"/>
      <c r="P29" s="400"/>
      <c r="Q29" s="402"/>
      <c r="R29" s="400"/>
      <c r="S29" s="404" t="n">
        <f aca="false">IF(AND($C29="Yes",$D29="Yes"),1,0)</f>
        <v>0</v>
      </c>
      <c r="T29" s="403" t="n">
        <f aca="false">$S29*IF($J29&lt;&gt;"",$J29,$F29*IF($I29&lt;&gt;"",$I29,$C$4)/(1+IF($I29&lt;&gt;"",$I29,$C$4)))</f>
        <v>0</v>
      </c>
      <c r="U29" s="403" t="n">
        <f aca="false">$S29*IF($L29&lt;&gt;"",$L29,$F29*$C$5)</f>
        <v>0</v>
      </c>
      <c r="V29" s="403" t="n">
        <f aca="false">$S29*$F29*IF($N29&lt;&gt;"",$N29,$C$6)</f>
        <v>0</v>
      </c>
      <c r="W29" s="403" t="n">
        <f aca="false">MAX(0,$V29-$U29)</f>
        <v>0</v>
      </c>
      <c r="X29" s="404" t="n">
        <f aca="false">IF($B29&lt;&gt;"",$B29,100+$H29)</f>
        <v>131</v>
      </c>
      <c r="Y29" s="403" t="n">
        <f aca="false">$S29*MAX(0,MIN($W29,$C$7-SUMIFS($W$11:$W$54,$X$11:$X$54,"&lt;"&amp;$X29)))</f>
        <v>0</v>
      </c>
      <c r="Z29" s="403" t="n">
        <f aca="false">$W29-$Y29</f>
        <v>0</v>
      </c>
      <c r="AA29" s="406" t="n">
        <f aca="false">$S29*($T29-$U29-$Z29)</f>
        <v>0</v>
      </c>
      <c r="AB29" s="406" t="n">
        <f aca="false">$S29*($T29-$U29)</f>
        <v>0</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34</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134</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No</v>
      </c>
      <c r="E31" s="402"/>
      <c r="F31" s="403" t="n">
        <f aca="false">IF($E31&lt;&gt;"",$E31,Projects!$B$24)</f>
        <v>18000000</v>
      </c>
      <c r="G31" s="400"/>
      <c r="H31" s="404" t="n">
        <f aca="false">IF($G31&lt;&gt;"",$G31,Projects!$C$24)</f>
        <v>37</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137</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No</v>
      </c>
      <c r="E32" s="402"/>
      <c r="F32" s="410" t="n">
        <f aca="false">IF($E32&lt;&gt;"",$E32,Projects!$B$25)</f>
        <v>18000000</v>
      </c>
      <c r="G32" s="400"/>
      <c r="H32" s="411" t="n">
        <f aca="false">IF($G32&lt;&gt;"",$G32,Projects!$C$25)</f>
        <v>40</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140</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No</v>
      </c>
      <c r="E33" s="402"/>
      <c r="F33" s="403" t="n">
        <f aca="false">IF($E33&lt;&gt;"",$E33,Projects!$B$26)</f>
        <v>18000000</v>
      </c>
      <c r="G33" s="400"/>
      <c r="H33" s="404" t="n">
        <f aca="false">IF($G33&lt;&gt;"",$G33,Projects!$C$26)</f>
        <v>42</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142</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No</v>
      </c>
      <c r="E34" s="402"/>
      <c r="F34" s="410" t="n">
        <f aca="false">IF($E34&lt;&gt;"",$E34,Projects!$B$27)</f>
        <v>15000000</v>
      </c>
      <c r="G34" s="400"/>
      <c r="H34" s="411" t="n">
        <f aca="false">IF($G34&lt;&gt;"",$G34,Projects!$C$27)</f>
        <v>44</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144</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No</v>
      </c>
      <c r="E35" s="402"/>
      <c r="F35" s="403" t="n">
        <f aca="false">IF($E35&lt;&gt;"",$E35,Projects!$B$28)</f>
        <v>15000000</v>
      </c>
      <c r="G35" s="400"/>
      <c r="H35" s="404" t="n">
        <f aca="false">IF($G35&lt;&gt;"",$G35,Projects!$C$28)</f>
        <v>46</v>
      </c>
      <c r="I35" s="405"/>
      <c r="J35" s="402"/>
      <c r="K35" s="400"/>
      <c r="L35" s="402"/>
      <c r="M35" s="400"/>
      <c r="N35" s="405"/>
      <c r="O35" s="402"/>
      <c r="P35" s="400"/>
      <c r="Q35" s="402"/>
      <c r="R35" s="400"/>
      <c r="S35" s="404" t="n">
        <f aca="false">IF(AND($C35="Yes",$D35="Yes"),1,0)</f>
        <v>0</v>
      </c>
      <c r="T35" s="403" t="n">
        <f aca="false">$S35*IF($J35&lt;&gt;"",$J35,$F35*IF($I35&lt;&gt;"",$I35,$C$4)/(1+IF($I35&lt;&gt;"",$I35,$C$4)))</f>
        <v>0</v>
      </c>
      <c r="U35" s="403" t="n">
        <f aca="false">$S35*IF($L35&lt;&gt;"",$L35,$F35*$C$5)</f>
        <v>0</v>
      </c>
      <c r="V35" s="403" t="n">
        <f aca="false">$S35*$F35*IF($N35&lt;&gt;"",$N35,$C$6)</f>
        <v>0</v>
      </c>
      <c r="W35" s="403" t="n">
        <f aca="false">MAX(0,$V35-$U35)</f>
        <v>0</v>
      </c>
      <c r="X35" s="404" t="n">
        <f aca="false">IF($B35&lt;&gt;"",$B35,100+$H35)</f>
        <v>146</v>
      </c>
      <c r="Y35" s="403" t="n">
        <f aca="false">$S35*MAX(0,MIN($W35,$C$7-SUMIFS($W$11:$W$54,$X$11:$X$54,"&lt;"&amp;$X35)))</f>
        <v>0</v>
      </c>
      <c r="Z35" s="403" t="n">
        <f aca="false">$W35-$Y35</f>
        <v>0</v>
      </c>
      <c r="AA35" s="406" t="n">
        <f aca="false">$S35*($T35-$U35-$Z35)</f>
        <v>0</v>
      </c>
      <c r="AB35" s="406" t="n">
        <f aca="false">$S35*($T35-$U35)</f>
        <v>0</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No</v>
      </c>
      <c r="E36" s="402"/>
      <c r="F36" s="410" t="n">
        <f aca="false">IF($E36&lt;&gt;"",$E36,Projects!$B$29)</f>
        <v>15000000</v>
      </c>
      <c r="G36" s="400"/>
      <c r="H36" s="411" t="n">
        <f aca="false">IF($G36&lt;&gt;"",$G36,Projects!$C$29)</f>
        <v>48</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148</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No</v>
      </c>
      <c r="E37" s="402"/>
      <c r="F37" s="403" t="n">
        <f aca="false">IF($E37&lt;&gt;"",$E37,Projects!$B$30)</f>
        <v>15000000</v>
      </c>
      <c r="G37" s="400"/>
      <c r="H37" s="404" t="n">
        <f aca="false">IF($G37&lt;&gt;"",$G37,Projects!$C$30)</f>
        <v>50</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150</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No</v>
      </c>
      <c r="E38" s="402"/>
      <c r="F38" s="410" t="n">
        <f aca="false">IF($E38&lt;&gt;"",$E38,Projects!$B$31)</f>
        <v>18000000</v>
      </c>
      <c r="G38" s="400"/>
      <c r="H38" s="411" t="n">
        <f aca="false">IF($G38&lt;&gt;"",$G38,Projects!$C$31)</f>
        <v>52</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152</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No</v>
      </c>
      <c r="E39" s="402"/>
      <c r="F39" s="403" t="n">
        <f aca="false">IF($E39&lt;&gt;"",$E39,Projects!$B$32)</f>
        <v>15000000</v>
      </c>
      <c r="G39" s="400"/>
      <c r="H39" s="404" t="n">
        <f aca="false">IF($G39&lt;&gt;"",$G39,Projects!$C$32)</f>
        <v>54</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154</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No</v>
      </c>
      <c r="E40" s="402"/>
      <c r="F40" s="410" t="n">
        <f aca="false">IF($E40&lt;&gt;"",$E40,Projects!$B$33)</f>
        <v>15000000</v>
      </c>
      <c r="G40" s="400"/>
      <c r="H40" s="411" t="n">
        <f aca="false">IF($G40&lt;&gt;"",$G40,Projects!$C$33)</f>
        <v>56</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156</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No</v>
      </c>
      <c r="E41" s="402"/>
      <c r="F41" s="403" t="n">
        <f aca="false">IF($E41&lt;&gt;"",$E41,Projects!$B$34)</f>
        <v>18000000</v>
      </c>
      <c r="G41" s="400"/>
      <c r="H41" s="404" t="n">
        <f aca="false">IF($G41&lt;&gt;"",$G41,Projects!$C$34)</f>
        <v>58</v>
      </c>
      <c r="I41" s="405"/>
      <c r="J41" s="402"/>
      <c r="K41" s="400"/>
      <c r="L41" s="402"/>
      <c r="M41" s="400"/>
      <c r="N41" s="405"/>
      <c r="O41" s="402"/>
      <c r="P41" s="400"/>
      <c r="Q41" s="402"/>
      <c r="R41" s="400"/>
      <c r="S41" s="404" t="n">
        <f aca="false">IF(AND($C41="Yes",$D41="Yes"),1,0)</f>
        <v>0</v>
      </c>
      <c r="T41" s="403" t="n">
        <f aca="false">$S41*IF($J41&lt;&gt;"",$J41,$F41*IF($I41&lt;&gt;"",$I41,$C$4)/(1+IF($I41&lt;&gt;"",$I41,$C$4)))</f>
        <v>0</v>
      </c>
      <c r="U41" s="403" t="n">
        <f aca="false">$S41*IF($L41&lt;&gt;"",$L41,$F41*$C$5)</f>
        <v>0</v>
      </c>
      <c r="V41" s="403" t="n">
        <f aca="false">$S41*$F41*IF($N41&lt;&gt;"",$N41,$C$6)</f>
        <v>0</v>
      </c>
      <c r="W41" s="403" t="n">
        <f aca="false">MAX(0,$V41-$U41)</f>
        <v>0</v>
      </c>
      <c r="X41" s="404" t="n">
        <f aca="false">IF($B41&lt;&gt;"",$B41,100+$H41)</f>
        <v>158</v>
      </c>
      <c r="Y41" s="403" t="n">
        <f aca="false">$S41*MAX(0,MIN($W41,$C$7-SUMIFS($W$11:$W$54,$X$11:$X$54,"&lt;"&amp;$X41)))</f>
        <v>0</v>
      </c>
      <c r="Z41" s="403" t="n">
        <f aca="false">$W41-$Y41</f>
        <v>0</v>
      </c>
      <c r="AA41" s="406" t="n">
        <f aca="false">$S41*($T41-$U41-$Z41)</f>
        <v>0</v>
      </c>
      <c r="AB41" s="406" t="n">
        <f aca="false">$S41*($T41-$U41)</f>
        <v>0</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No</v>
      </c>
      <c r="E42" s="402"/>
      <c r="F42" s="410" t="n">
        <f aca="false">IF($E42&lt;&gt;"",$E42,Projects!$B$35)</f>
        <v>15000000</v>
      </c>
      <c r="G42" s="400"/>
      <c r="H42" s="411" t="n">
        <f aca="false">IF($G42&lt;&gt;"",$G42,Projects!$C$35)</f>
        <v>60</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160</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No</v>
      </c>
      <c r="E43" s="402"/>
      <c r="F43" s="403" t="n">
        <f aca="false">IF($E43&lt;&gt;"",$E43,Projects!$B$36)</f>
        <v>18000000</v>
      </c>
      <c r="G43" s="400"/>
      <c r="H43" s="404" t="n">
        <f aca="false">IF($G43&lt;&gt;"",$G43,Projects!$C$36)</f>
        <v>62</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162</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No</v>
      </c>
      <c r="E44" s="402"/>
      <c r="F44" s="410" t="n">
        <f aca="false">IF($E44&lt;&gt;"",$E44,Projects!$B$37)</f>
        <v>15000000</v>
      </c>
      <c r="G44" s="400"/>
      <c r="H44" s="411" t="n">
        <f aca="false">IF($G44&lt;&gt;"",$G44,Projects!$C$37)</f>
        <v>64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164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No</v>
      </c>
      <c r="E45" s="402"/>
      <c r="F45" s="403" t="n">
        <f aca="false">IF($E45&lt;&gt;"",$E45,Projects!$B$38)</f>
        <v>15000000</v>
      </c>
      <c r="G45" s="400"/>
      <c r="H45" s="404" t="n">
        <f aca="false">IF($G45&lt;&gt;"",$G45,Projects!$C$38)</f>
        <v>66</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166</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No</v>
      </c>
      <c r="E46" s="402"/>
      <c r="F46" s="410" t="n">
        <f aca="false">IF($E46&lt;&gt;"",$E46,Projects!$B$39)</f>
        <v>18000000</v>
      </c>
      <c r="G46" s="400"/>
      <c r="H46" s="411" t="n">
        <f aca="false">IF($G46&lt;&gt;"",$G46,Projects!$C$39)</f>
        <v>68</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168</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No</v>
      </c>
      <c r="E47" s="402"/>
      <c r="F47" s="403" t="n">
        <f aca="false">IF($E47&lt;&gt;"",$E47,Projects!$B$40)</f>
        <v>15000000</v>
      </c>
      <c r="G47" s="400"/>
      <c r="H47" s="404" t="n">
        <f aca="false">IF($G47&lt;&gt;"",$G47,Projects!$C$40)</f>
        <v>70</v>
      </c>
      <c r="I47" s="405"/>
      <c r="J47" s="402"/>
      <c r="K47" s="400"/>
      <c r="L47" s="402"/>
      <c r="M47" s="400"/>
      <c r="N47" s="405"/>
      <c r="O47" s="402"/>
      <c r="P47" s="400"/>
      <c r="Q47" s="402"/>
      <c r="R47" s="400"/>
      <c r="S47" s="404" t="n">
        <f aca="false">IF(AND($C47="Yes",$D47="Yes"),1,0)</f>
        <v>0</v>
      </c>
      <c r="T47" s="403" t="n">
        <f aca="false">$S47*IF($J47&lt;&gt;"",$J47,$F47*IF($I47&lt;&gt;"",$I47,$C$4)/(1+IF($I47&lt;&gt;"",$I47,$C$4)))</f>
        <v>0</v>
      </c>
      <c r="U47" s="403" t="n">
        <f aca="false">$S47*IF($L47&lt;&gt;"",$L47,$F47*$C$5)</f>
        <v>0</v>
      </c>
      <c r="V47" s="403" t="n">
        <f aca="false">$S47*$F47*IF($N47&lt;&gt;"",$N47,$C$6)</f>
        <v>0</v>
      </c>
      <c r="W47" s="403" t="n">
        <f aca="false">MAX(0,$V47-$U47)</f>
        <v>0</v>
      </c>
      <c r="X47" s="404" t="n">
        <f aca="false">IF($B47&lt;&gt;"",$B47,100+$H47)</f>
        <v>170</v>
      </c>
      <c r="Y47" s="403" t="n">
        <f aca="false">$S47*MAX(0,MIN($W47,$C$7-SUMIFS($W$11:$W$54,$X$11:$X$54,"&lt;"&amp;$X47)))</f>
        <v>0</v>
      </c>
      <c r="Z47" s="403" t="n">
        <f aca="false">$W47-$Y47</f>
        <v>0</v>
      </c>
      <c r="AA47" s="406" t="n">
        <f aca="false">$S47*($T47-$U47-$Z47)</f>
        <v>0</v>
      </c>
      <c r="AB47" s="406" t="n">
        <f aca="false">$S47*($T47-$U47)</f>
        <v>0</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No</v>
      </c>
      <c r="E48" s="402"/>
      <c r="F48" s="410" t="n">
        <f aca="false">IF($E48&lt;&gt;"",$E48,Projects!$B$41)</f>
        <v>15000000</v>
      </c>
      <c r="G48" s="400"/>
      <c r="H48" s="411" t="n">
        <f aca="false">IF($G48&lt;&gt;"",$G48,Projects!$C$41)</f>
        <v>72</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172</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No</v>
      </c>
      <c r="E49" s="402"/>
      <c r="F49" s="403" t="n">
        <f aca="false">IF($E49&lt;&gt;"",$E49,Projects!$B$42)</f>
        <v>18000000</v>
      </c>
      <c r="G49" s="400"/>
      <c r="H49" s="404" t="n">
        <f aca="false">IF($G49&lt;&gt;"",$G49,Projects!$C$42)</f>
        <v>74</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174</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No</v>
      </c>
      <c r="E50" s="402"/>
      <c r="F50" s="410" t="n">
        <f aca="false">IF($E50&lt;&gt;"",$E50,Projects!$B$43)</f>
        <v>15000000</v>
      </c>
      <c r="G50" s="400"/>
      <c r="H50" s="411" t="n">
        <f aca="false">IF($G50&lt;&gt;"",$G50,Projects!$C$43)</f>
        <v>76</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176</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No</v>
      </c>
      <c r="E51" s="402"/>
      <c r="F51" s="403" t="n">
        <f aca="false">IF($E51&lt;&gt;"",$E51,Projects!$B$44)</f>
        <v>15000000</v>
      </c>
      <c r="G51" s="400"/>
      <c r="H51" s="404" t="n">
        <f aca="false">IF($G51&lt;&gt;"",$G51,Projects!$C$44)</f>
        <v>78</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178</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No</v>
      </c>
      <c r="E52" s="402"/>
      <c r="F52" s="410" t="n">
        <f aca="false">IF($E52&lt;&gt;"",$E52,Projects!$B$45)</f>
        <v>18000000</v>
      </c>
      <c r="G52" s="400"/>
      <c r="H52" s="411" t="n">
        <f aca="false">IF($G52&lt;&gt;"",$G52,Projects!$C$45)</f>
        <v>80</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180</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No</v>
      </c>
      <c r="E53" s="402"/>
      <c r="F53" s="403" t="n">
        <f aca="false">IF($E53&lt;&gt;"",$E53,Projects!$B$46)</f>
        <v>15000000</v>
      </c>
      <c r="G53" s="400"/>
      <c r="H53" s="404" t="n">
        <f aca="false">IF($G53&lt;&gt;"",$G53,Projects!$C$46)</f>
        <v>82</v>
      </c>
      <c r="I53" s="405"/>
      <c r="J53" s="402"/>
      <c r="K53" s="400"/>
      <c r="L53" s="402"/>
      <c r="M53" s="400"/>
      <c r="N53" s="405"/>
      <c r="O53" s="402"/>
      <c r="P53" s="400"/>
      <c r="Q53" s="402"/>
      <c r="R53" s="400"/>
      <c r="S53" s="404" t="n">
        <f aca="false">IF(AND($C53="Yes",$D53="Yes"),1,0)</f>
        <v>0</v>
      </c>
      <c r="T53" s="403" t="n">
        <f aca="false">$S53*IF($J53&lt;&gt;"",$J53,$F53*IF($I53&lt;&gt;"",$I53,$C$4)/(1+IF($I53&lt;&gt;"",$I53,$C$4)))</f>
        <v>0</v>
      </c>
      <c r="U53" s="403" t="n">
        <f aca="false">$S53*IF($L53&lt;&gt;"",$L53,$F53*$C$5)</f>
        <v>0</v>
      </c>
      <c r="V53" s="403" t="n">
        <f aca="false">$S53*$F53*IF($N53&lt;&gt;"",$N53,$C$6)</f>
        <v>0</v>
      </c>
      <c r="W53" s="403" t="n">
        <f aca="false">MAX(0,$V53-$U53)</f>
        <v>0</v>
      </c>
      <c r="X53" s="404" t="n">
        <f aca="false">IF($B53&lt;&gt;"",$B53,100+$H53)</f>
        <v>182</v>
      </c>
      <c r="Y53" s="403" t="n">
        <f aca="false">$S53*MAX(0,MIN($W53,$C$7-SUMIFS($W$11:$W$54,$X$11:$X$54,"&lt;"&amp;$X53)))</f>
        <v>0</v>
      </c>
      <c r="Z53" s="403" t="n">
        <f aca="false">$W53-$Y53</f>
        <v>0</v>
      </c>
      <c r="AA53" s="406" t="n">
        <f aca="false">$S53*($T53-$U53-$Z53)</f>
        <v>0</v>
      </c>
      <c r="AB53" s="406" t="n">
        <f aca="false">$S53*($T53-$U53)</f>
        <v>0</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3928739.28448276</v>
      </c>
      <c r="U56" s="415" t="n">
        <f aca="false">SUM(U11:U54)</f>
        <v>1840052.40743319</v>
      </c>
      <c r="V56" s="415" t="n">
        <f aca="false">SUM(V11:V54)</f>
        <v>8185433.615125</v>
      </c>
      <c r="W56" s="415" t="n">
        <f aca="false">SUM(W11:W54)</f>
        <v>6345381.20769181</v>
      </c>
      <c r="X56" s="415"/>
      <c r="Y56" s="415" t="n">
        <f aca="false">SUM(Y11:Y54)</f>
        <v>1800000</v>
      </c>
      <c r="Z56" s="416" t="n">
        <f aca="false">SUM(Z11:Z54)</f>
        <v>4545381.20769181</v>
      </c>
      <c r="AA56" s="416" t="n">
        <f aca="false">SUM(AA11:AA54)</f>
        <v>-2456694.33064224</v>
      </c>
      <c r="AB56" s="416" t="n">
        <f aca="false">SUM(AB11:AB54)</f>
        <v>2088686.87704957</v>
      </c>
      <c r="AC56" s="416" t="n">
        <f aca="false">SUM(AC11:AC54)</f>
        <v>692876.895125</v>
      </c>
      <c r="AD56" s="415"/>
    </row>
    <row r="57" customFormat="false" ht="15" hidden="false" customHeight="true" outlineLevel="0" collapsed="false">
      <c r="A57" s="120" t="s">
        <v>1480</v>
      </c>
      <c r="C57" s="417" t="str">
        <f aca="false">IF(Y56&lt;=$C$7+0.5,"OK","OVER CAP")</f>
        <v>OK</v>
      </c>
      <c r="D57" s="392" t="s">
        <v>1481</v>
      </c>
    </row>
    <row r="58" customFormat="false" ht="15" hidden="false" customHeight="true" outlineLevel="0" collapsed="false">
      <c r="A58" s="120" t="s">
        <v>1480</v>
      </c>
      <c r="C58" s="417" t="str">
        <f aca="false">IF(ABS(SUM(Model!$B$150:$DE$150)-SUMPRODUCT((H11:H54&gt;=-2)*(H11:H54&lt;=105)*T11:T54))&lt;1,"OK","CHECK")</f>
        <v>OK</v>
      </c>
      <c r="D58" s="392" t="s">
        <v>1482</v>
      </c>
    </row>
    <row r="60" customFormat="false" ht="15" hidden="false" customHeight="true" outlineLevel="0" collapsed="false">
      <c r="A60" s="418" t="s">
        <v>1483</v>
      </c>
    </row>
    <row r="61" customFormat="false" ht="15" hidden="false" customHeight="true" outlineLevel="0" collapsed="false">
      <c r="A61" s="392" t="s">
        <v>1484</v>
      </c>
    </row>
    <row r="62" customFormat="false" ht="15" hidden="false" customHeight="true" outlineLevel="0" collapsed="false">
      <c r="A62" s="392" t="s">
        <v>1485</v>
      </c>
    </row>
    <row r="63" customFormat="false" ht="15" hidden="false" customHeight="true" outlineLevel="0" collapsed="false">
      <c r="A63" s="392" t="s">
        <v>1486</v>
      </c>
    </row>
    <row r="64" customFormat="false" ht="15" hidden="false" customHeight="true" outlineLevel="0" collapsed="false">
      <c r="A64" s="392" t="s">
        <v>1487</v>
      </c>
    </row>
    <row r="65" customFormat="false" ht="15" hidden="false" customHeight="true" outlineLevel="0" collapsed="false">
      <c r="A65" s="392" t="s">
        <v>1488</v>
      </c>
    </row>
    <row r="66" customFormat="false" ht="15" hidden="false" customHeight="true" outlineLevel="0" collapsed="false">
      <c r="A66" s="392" t="s">
        <v>1489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2026-10-03T11:12:31Z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