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24.xml" ContentType="application/vnd.openxmlformats-officedocument.spreadsheetml.comments+xml"/>
  <Override PartName="/xl/comments29.xml" ContentType="application/vnd.openxmlformats-officedocument.spreadsheetml.comments+xml"/>
  <Override PartName="/xl/worksheets/sheet18.xml" ContentType="application/vnd.openxmlformats-officedocument.spreadsheetml.worksheet+xml"/>
  <Override PartName="/xl/worksheets/sheet20.xml" ContentType="application/vnd.openxmlformats-officedocument.spreadsheetml.worksheet+xml"/>
  <Override PartName="/xl/worksheets/sheet24.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28.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29.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comments27.xml" ContentType="application/vnd.openxmlformats-officedocument.spreadsheetml.comments+xml"/>
  <Override PartName="/xl/styles.xml" ContentType="application/vnd.openxmlformats-officedocument.spreadsheetml.styles+xml"/>
  <Override PartName="/xl/comments1.xml" ContentType="application/vnd.openxmlformats-officedocument.spreadsheetml.comments+xml"/>
  <Override PartName="/xl/sharedStrings.xml" ContentType="application/vnd.openxmlformats-officedocument.spreadsheetml.sharedStrings+xml"/>
  <Override PartName="/xl/comments4.xml" ContentType="application/vnd.openxmlformats-officedocument.spreadsheetml.comments+xml"/>
  <Override PartName="/xl/comments6.xml" ContentType="application/vnd.openxmlformats-officedocument.spreadsheetml.comments+xml"/>
  <Override PartName="/xl/comments19.xml" ContentType="application/vnd.openxmlformats-officedocument.spreadsheetml.comments+xml"/>
  <Override PartName="/xl/drawings/vmlDrawing3.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vmlDrawing8.vml" ContentType="application/vnd.openxmlformats-officedocument.vmlDrawing"/>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Claude 6-Oct-26</author>
    <author>Unknown Author</author>
  </authors>
  <commentList>
    <comment ref="B18" authorId="1">
      <text>
        <r>
          <rPr>
            <sz val="10"/>
            <rFont val="Arial"/>
            <family val="2"/>
          </rPr>
          <t xml:space="preserve">Restored 27-Sep-26 to the HVN Round 2 ROM ($11,317,385). The 26-Sep rename had copied the in-construction Riverton contract ($14,337,010.80) onto this row.</t>
        </r>
      </text>
    </comment>
    <comment ref="D9" authorId="1">
      <text>
        <r>
          <rPr>
            <sz val="10"/>
            <rFont val="Arial"/>
            <family val="2"/>
          </rPr>
          <t xml:space="preserve">26-Sep-26 (Chris): Riverton completion Feb-2028 (month 23) = start 5 + 19 months - 1. Curve 3 (19-month).</t>
        </r>
      </text>
    </comment>
    <comment ref="G11" authorId="0">
      <text>
        <r>
          <rPr>
            <sz val="10"/>
            <rFont val="Arial"/>
            <family val="2"/>
          </rPr>
          <t xml:space="preserve">Was No. In-Place (funded) plan: in-place jobs + Acama + Troost + Klump &amp; Scott (Chris 6 Oct 2026).</t>
        </r>
      </text>
    </comment>
    <comment ref="G12" authorId="0">
      <text>
        <r>
          <rPr>
            <sz val="10"/>
            <rFont val="Arial"/>
            <family val="2"/>
          </rPr>
          <t xml:space="preserve">Was No. In-Place (funded) plan: in-place jobs + Acama + Troost + Klump &amp; Scott (Chris 6 Oct 2026).</t>
        </r>
      </text>
    </comment>
    <comment ref="G21" authorId="0">
      <text>
        <r>
          <rPr>
            <sz val="10"/>
            <rFont val="Arial"/>
            <family val="2"/>
          </rPr>
          <t xml:space="preserve">Was No. In-Place (funded) plan: in-place jobs + Acama + Troost + Klump &amp; Scott (Chris 6 Oct 2026).</t>
        </r>
      </text>
    </comment>
    <comment ref="J11" authorId="1">
      <text>
        <r>
          <rPr>
            <sz val="10"/>
            <rFont val="Arial"/>
            <family val="2"/>
          </rPr>
          <t xml:space="preserve">Was Yes. Steyn no longer guarantees Klump &amp; Scott (Chris 3 Oct 2026).</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<sst xmlns="http://schemas.openxmlformats.org/spreadsheetml/2006/main" count="3715" uniqueCount="1490">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</sst>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1">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_(\$* #,##0.00_);_(\$* \(#,##0.00\);_(\$* \-??_);_(@_)"/>
    <numFmt numFmtId="175" formatCode="0.0%"/>
    <numFmt numFmtId="176" formatCode="_(\$* #,##0_);_(\$* \(#,##0\);_(\$* \-_);_(@_)"/>
    <numFmt numFmtId="177" formatCode="0.0%;\(0.0%\);\-"/>
    <numFmt numFmtId="178" formatCode="0%"/>
    <numFmt numFmtId="179" formatCode="0.00%"/>
    <numFmt numFmtId="180" formatCode="0.0000%"/>
    <numFmt numFmtId="181" formatCode="\$#,##0"/>
    <numFmt numFmtId="182" formatCode="mmm\-yyyy"/>
    <numFmt numFmtId="183" formatCode="#,##0.0,,;\(#,##0.0,,\);&quot;&quot;"/>
    <numFmt numFmtId="184" formatCode="0;;&quot;&quot;"/>
    <numFmt numFmtId="185" formatCode="0.0%;[RED]\(0.0%\)"/>
    <numFmt numFmtId="186" formatCode="0.00\x"/>
    <numFmt numFmtId="187" formatCode="#,##0;[RED]\-#,##0;\✓"/>
    <numFmt numFmtId="188" formatCode="#,##0"/>
    <numFmt numFmtId="189" formatCode="#,##0.00"/>
    <numFmt numFmtId="190" formatCode="0.0000"/>
    <numFmt numFmtId="191" formatCode="[$$-409]#,##0.00;[RED]\-[$$-409]#,##0.00"/>
    <numFmt numFmtId="192" formatCode="#,##0;\(#,##0\);\-"/>
    <numFmt numFmtId="193" formatCode="0.00"/>
    <numFmt numFmtId="194"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5"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6"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7" fontId="0" fillId="0" borderId="6" xfId="0" applyFont="false" applyBorder="true" applyAlignment="true" applyProtection="false">
      <alignment horizontal="right" vertical="center" textRotation="0" wrapText="false" indent="0" shrinkToFit="false"/>
      <protection locked="true" hidden="false"/>
    </xf>
    <xf numFmtId="178"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6"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7"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6" fontId="9" fillId="11" borderId="3" xfId="0" applyFont="true" applyBorder="true" applyAlignment="true" applyProtection="false">
      <alignment horizontal="right" vertical="center" textRotation="0" wrapText="false" indent="0" shrinkToFit="false"/>
      <protection locked="true" hidden="false"/>
    </xf>
    <xf numFmtId="177" fontId="4" fillId="11" borderId="6" xfId="0" applyFont="true" applyBorder="true" applyAlignment="true" applyProtection="false">
      <alignment horizontal="right" vertical="bottom" textRotation="0" wrapText="false" indent="0" shrinkToFit="false"/>
      <protection locked="true" hidden="false"/>
    </xf>
    <xf numFmtId="176" fontId="4" fillId="11" borderId="3" xfId="0" applyFont="true" applyBorder="true" applyAlignment="true" applyProtection="false">
      <alignment horizontal="right" vertical="center" textRotation="0" wrapText="false" indent="0" shrinkToFit="false"/>
      <protection locked="true" hidden="false"/>
    </xf>
    <xf numFmtId="178"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9" fontId="35" fillId="0" borderId="0" xfId="0" applyFont="true" applyBorder="false" applyAlignment="true" applyProtection="false">
      <alignment horizontal="general" vertical="bottom" textRotation="0" wrapText="false" indent="0" shrinkToFit="false"/>
      <protection locked="true" hidden="false"/>
    </xf>
    <xf numFmtId="180" fontId="6" fillId="0" borderId="0" xfId="0" applyFont="tru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1" fontId="28"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83" fontId="0" fillId="0" borderId="0" xfId="0" applyFont="false" applyBorder="false" applyAlignment="true" applyProtection="false">
      <alignment horizontal="general"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3"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3" fontId="9" fillId="14" borderId="0" xfId="0" applyFont="true" applyBorder="false" applyAlignment="true" applyProtection="false">
      <alignment horizontal="center"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1"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1" fontId="31" fillId="0" borderId="6" xfId="0" applyFont="true" applyBorder="true" applyAlignment="true" applyProtection="false">
      <alignment horizontal="general" vertical="bottom" textRotation="0" wrapText="false" indent="0" shrinkToFit="false"/>
      <protection locked="true" hidden="false"/>
    </xf>
    <xf numFmtId="178"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1"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8" fontId="31" fillId="13" borderId="6" xfId="0" applyFont="true" applyBorder="tru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5"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9" fontId="44" fillId="2" borderId="0" xfId="0" applyFont="true" applyBorder="false" applyAlignment="true" applyProtection="false">
      <alignment horizontal="general" vertical="bottom" textRotation="0" wrapText="false" indent="0" shrinkToFit="false"/>
      <protection locked="true" hidden="false"/>
    </xf>
    <xf numFmtId="179" fontId="29" fillId="25" borderId="0" xfId="0" applyFont="true" applyBorder="false" applyAlignment="true" applyProtection="false">
      <alignment horizontal="general" vertical="bottom" textRotation="0" wrapText="false" indent="0" shrinkToFit="false"/>
      <protection locked="true" hidden="false"/>
    </xf>
    <xf numFmtId="179"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8" fontId="29" fillId="2" borderId="0" xfId="0" applyFont="true" applyBorder="false" applyAlignment="true" applyProtection="false">
      <alignment horizontal="general" vertical="bottom" textRotation="0" wrapText="false" indent="0" shrinkToFit="false"/>
      <protection locked="true" hidden="false"/>
    </xf>
    <xf numFmtId="188" fontId="29" fillId="25" borderId="0" xfId="0" applyFont="true" applyBorder="false" applyAlignment="true" applyProtection="false">
      <alignment horizontal="general" vertical="bottom" textRotation="0" wrapText="false" indent="0" shrinkToFit="false"/>
      <protection locked="true" hidden="false"/>
    </xf>
    <xf numFmtId="188"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9" fontId="5" fillId="2" borderId="0" xfId="0" applyFont="true" applyBorder="false" applyAlignment="true" applyProtection="false">
      <alignment horizontal="center" vertical="bottom" textRotation="0" wrapText="false" indent="0" shrinkToFit="false"/>
      <protection locked="true" hidden="false"/>
    </xf>
    <xf numFmtId="179"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9"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88"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8"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6" fontId="4" fillId="28" borderId="3" xfId="0" applyFont="true" applyBorder="true" applyAlignment="true" applyProtection="false">
      <alignment horizontal="right" vertical="center" textRotation="0" wrapText="false" indent="0" shrinkToFit="false"/>
      <protection locked="true" hidden="false"/>
    </xf>
    <xf numFmtId="178" fontId="9" fillId="28" borderId="3" xfId="0" applyFont="true" applyBorder="true" applyAlignment="true" applyProtection="false">
      <alignment horizontal="center" vertical="center" textRotation="0" wrapText="false" indent="0" shrinkToFit="false"/>
      <protection locked="true" hidden="false"/>
    </xf>
    <xf numFmtId="190"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1"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7"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8" fontId="25" fillId="3" borderId="0" xfId="0" applyFont="true" applyBorder="false" applyAlignment="true" applyProtection="false">
      <alignment horizontal="center" vertical="center" textRotation="0" wrapText="tru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2" fontId="52" fillId="13" borderId="6" xfId="0" applyFont="true" applyBorder="true" applyAlignment="true" applyProtection="false">
      <alignment horizontal="general" vertical="bottom" textRotation="0" wrapText="false" indent="0" shrinkToFit="false"/>
      <protection locked="true" hidden="false"/>
    </xf>
    <xf numFmtId="178"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2" fontId="52" fillId="7" borderId="6" xfId="0" applyFont="true" applyBorder="true" applyAlignment="true" applyProtection="false">
      <alignment horizontal="general" vertical="bottom" textRotation="0" wrapText="false" indent="0" shrinkToFit="false"/>
      <protection locked="true" hidden="false"/>
    </xf>
    <xf numFmtId="178"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3" fontId="32" fillId="0" borderId="6" xfId="0" applyFont="true" applyBorder="true" applyAlignment="true" applyProtection="false">
      <alignment horizontal="general" vertical="bottom" textRotation="0" wrapText="false" indent="0" shrinkToFit="false"/>
      <protection locked="true" hidden="false"/>
    </xf>
    <xf numFmtId="181" fontId="32" fillId="0" borderId="6" xfId="0" applyFont="true" applyBorder="true" applyAlignment="true" applyProtection="false">
      <alignment horizontal="general" vertical="bottom" textRotation="0" wrapText="false" indent="0" shrinkToFit="false"/>
      <protection locked="true" hidden="false"/>
    </xf>
    <xf numFmtId="178"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0"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0" fontId="22" fillId="32" borderId="6" xfId="0" applyFont="true" applyBorder="true" applyAlignment="true" applyProtection="false">
      <alignment horizontal="right" vertical="bottom" textRotation="0" wrapText="false" indent="0" shrinkToFit="false"/>
      <protection locked="true" hidden="false"/>
    </xf>
    <xf numFmtId="188" fontId="22" fillId="32" borderId="6" xfId="0" applyFont="true" applyBorder="true" applyAlignment="true" applyProtection="false">
      <alignment horizontal="right" vertical="bottom" textRotation="0" wrapText="false" indent="0" shrinkToFit="false"/>
      <protection locked="true" hidden="false"/>
    </xf>
    <xf numFmtId="188"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8"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2" fontId="22" fillId="32" borderId="6" xfId="0" applyFont="true" applyBorder="true" applyAlignment="true" applyProtection="false">
      <alignment horizontal="right" vertical="center" textRotation="0" wrapText="false" indent="0" shrinkToFit="false"/>
      <protection locked="true" hidden="false"/>
    </xf>
    <xf numFmtId="192"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9" fontId="22" fillId="32" borderId="6" xfId="0" applyFont="true" applyBorder="true" applyAlignment="true" applyProtection="false">
      <alignment horizontal="right" vertical="center" textRotation="0" wrapText="false" indent="0" shrinkToFit="false"/>
      <protection locked="true" hidden="false"/>
    </xf>
    <xf numFmtId="192"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2"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2"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2" fontId="32" fillId="33" borderId="14" xfId="0" applyFont="true" applyBorder="true" applyAlignment="true" applyProtection="false">
      <alignment horizontal="right" vertical="bottom" textRotation="0" wrapText="false" indent="0" shrinkToFit="false"/>
      <protection locked="true" hidden="false"/>
    </xf>
    <xf numFmtId="192"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5.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6.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7.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I262" activeCellId="0" sqref="I262"/>
    </sheetView>
  </sheetViews>
  <sheetFormatPr defaultColWidth="8.7109375" defaultRowHeight="13.5" customHeight="false"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462121.810726527</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439223.510726527</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447347.930726527</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500938.470726527</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438950.780726527</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482818.090726527</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381178.330726527</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480958.640726527</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388523.890726527</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460721.700726527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477429.603625827</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370954.228995215</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240253.77665924</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253368.00665924</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248186.29665924</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345112.071401302</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293738.722599927</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215628.111234427</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212104.191234427</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215173.538583177</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69839.32</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78016.5</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84806.09</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22816.35</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0</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0</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0</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0</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0</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0</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0</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0</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0</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0</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0</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0</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0</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0</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0</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0</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0</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0</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0</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0</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355012.377093188</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334591.407093188</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338849.577093188</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379333.837093188</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332880.557093188</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363300.617093188</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285882.807093188</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360718.037093188</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291391.967093188</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345540.337093188</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358071.087555028</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278214.740085138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180189.723177558</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190025.403177558</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186139.123177558</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258833.162550208</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220303.599603108</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161720.888006708</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159077.938006708</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161379.690225708</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52379.49</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58512.38</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63604.57</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17112.26</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0</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0</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0</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0</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0</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0</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0</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0</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0</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0</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0</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0</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0</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0</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0</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0</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0</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0</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0</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0</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0</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0</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0</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0</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0</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0</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0</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0</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0</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0</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0</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0</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0</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0</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0</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0</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0</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0</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0</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0</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0</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0</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0</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0</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0</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0</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0</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0</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6370378.84155909</v>
      </c>
      <c r="R57" s="30" t="n">
        <f aca="false">SUM(R13:R56)</f>
        <v>6349041.74106239</v>
      </c>
      <c r="S57" s="30" t="n">
        <f aca="false">SUM(S13:S56)</f>
        <v>6663170.50728289</v>
      </c>
      <c r="T57" s="30" t="n">
        <f aca="false">SUM(T13:T56)</f>
        <v>7605834.18209984</v>
      </c>
      <c r="U57" s="30" t="n">
        <f aca="false">SUM(U13:U56)</f>
        <v>6969767.21715409</v>
      </c>
      <c r="V57" s="30" t="n">
        <f aca="false">SUM(V13:V56)</f>
        <v>7423120.15407873</v>
      </c>
      <c r="W57" s="30" t="n">
        <f aca="false">SUM(W13:W56)</f>
        <v>6091533.72877329</v>
      </c>
      <c r="X57" s="30" t="n">
        <f aca="false">SUM(X13:X56)</f>
        <v>7148502.96882478</v>
      </c>
      <c r="Y57" s="30" t="n">
        <f aca="false">SUM(Y13:Y56)</f>
        <v>5744951.27782348</v>
      </c>
      <c r="Z57" s="30" t="n">
        <f aca="false">SUM(Z13:Z56)</f>
        <v>6315945.84685093</v>
      </c>
      <c r="AA57" s="30" t="n">
        <f aca="false">SUM(AA13:AA56)</f>
        <v>5448072.8474083</v>
      </c>
      <c r="AB57" s="30" t="n">
        <f aca="false">SUM(AB13:AB56)</f>
        <v>4180527.058837</v>
      </c>
      <c r="AC57" s="30" t="n">
        <f aca="false">SUM(AC13:AC56)</f>
        <v>3197232.9318362</v>
      </c>
      <c r="AD57" s="30" t="n">
        <f aca="false">SUM(AD13:AD56)</f>
        <v>3058912.6647247</v>
      </c>
      <c r="AE57" s="30" t="n">
        <f aca="false">SUM(AE13:AE56)</f>
        <v>2689092.16738295</v>
      </c>
      <c r="AF57" s="30" t="n">
        <f aca="false">SUM(AF13:AF56)</f>
        <v>2487313.31670724</v>
      </c>
      <c r="AG57" s="30" t="n">
        <f aca="false">SUM(AG13:AG56)</f>
        <v>2843009.93982497</v>
      </c>
      <c r="AH57" s="30" t="n">
        <f aca="false">SUM(AH13:AH56)</f>
        <v>2461383.21598386</v>
      </c>
      <c r="AI57" s="30" t="n">
        <f aca="false">SUM(AI13:AI56)</f>
        <v>2330268.61483886</v>
      </c>
      <c r="AJ57" s="30" t="n">
        <f aca="false">SUM(AJ13:AJ56)</f>
        <v>1250829.53347611</v>
      </c>
      <c r="AK57" s="30" t="n">
        <f aca="false">SUM(AK13:AK56)</f>
        <v>866931.3</v>
      </c>
      <c r="AL57" s="30" t="n">
        <f aca="false">SUM(AL13:AL56)</f>
        <v>968436.51</v>
      </c>
      <c r="AM57" s="30" t="n">
        <f aca="false">SUM(AM13:AM56)</f>
        <v>1052717.22</v>
      </c>
      <c r="AN57" s="30" t="n">
        <f aca="false">SUM(AN13:AN56)</f>
        <v>283224.47</v>
      </c>
      <c r="AO57" s="30" t="n">
        <f aca="false">SUM(AO13:AO56)</f>
        <v>0</v>
      </c>
      <c r="AP57" s="30" t="n">
        <f aca="false">SUM(AP13:AP56)</f>
        <v>0</v>
      </c>
      <c r="AQ57" s="30" t="n">
        <f aca="false">SUM(AQ13:AQ56)</f>
        <v>0</v>
      </c>
      <c r="AR57" s="30" t="n">
        <f aca="false">SUM(AR13:AR56)</f>
        <v>0</v>
      </c>
      <c r="AS57" s="30" t="n">
        <f aca="false">SUM(AS13:AS56)</f>
        <v>0</v>
      </c>
      <c r="AT57" s="30" t="n">
        <f aca="false">SUM(AT13:AT56)</f>
        <v>0</v>
      </c>
      <c r="AU57" s="30" t="n">
        <f aca="false">SUM(AU13:AU56)</f>
        <v>0</v>
      </c>
      <c r="AV57" s="30" t="n">
        <f aca="false">SUM(AV13:AV56)</f>
        <v>0</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7187513.0293788</v>
      </c>
      <c r="R58" s="30" t="n">
        <f aca="false">R10+R11+R57</f>
        <v>7122856.6588821</v>
      </c>
      <c r="S58" s="30" t="n">
        <f aca="false">S10+S11+S57</f>
        <v>7449368.0151026</v>
      </c>
      <c r="T58" s="30" t="n">
        <f aca="false">T10+T11+T57</f>
        <v>8486106.48991955</v>
      </c>
      <c r="U58" s="30" t="n">
        <f aca="false">U10+U11+U57</f>
        <v>7741598.5549738</v>
      </c>
      <c r="V58" s="30" t="n">
        <f aca="false">V10+V11+V57</f>
        <v>8269238.86189845</v>
      </c>
      <c r="W58" s="30" t="n">
        <f aca="false">W10+W11+W57</f>
        <v>6758594.866593</v>
      </c>
      <c r="X58" s="30" t="n">
        <f aca="false">X10+X11+X57</f>
        <v>7990179.6466445</v>
      </c>
      <c r="Y58" s="30" t="n">
        <f aca="false">Y10+Y11+Y57</f>
        <v>6424867.1356432</v>
      </c>
      <c r="Z58" s="30" t="n">
        <f aca="false">Z10+Z11+Z57</f>
        <v>7122207.88467065</v>
      </c>
      <c r="AA58" s="30" t="n">
        <f aca="false">AA10+AA11+AA57</f>
        <v>6283573.53858915</v>
      </c>
      <c r="AB58" s="30" t="n">
        <f aca="false">AB10+AB11+AB57</f>
        <v>4829696.02791735</v>
      </c>
      <c r="AC58" s="30" t="n">
        <f aca="false">AC10+AC11+AC57</f>
        <v>3617676.431673</v>
      </c>
      <c r="AD58" s="30" t="n">
        <f aca="false">AD10+AD11+AD57</f>
        <v>3502306.0745615</v>
      </c>
      <c r="AE58" s="30" t="n">
        <f aca="false">AE10+AE11+AE57</f>
        <v>3123417.58721975</v>
      </c>
      <c r="AF58" s="30" t="n">
        <f aca="false">AF10+AF11+AF57</f>
        <v>3091258.55065875</v>
      </c>
      <c r="AG58" s="30" t="n">
        <f aca="false">AG10+AG11+AG57</f>
        <v>3357052.262028</v>
      </c>
      <c r="AH58" s="30" t="n">
        <f aca="false">AH10+AH11+AH57</f>
        <v>2838732.215225</v>
      </c>
      <c r="AI58" s="30" t="n">
        <f aca="false">AI10+AI11+AI57</f>
        <v>2701450.74408</v>
      </c>
      <c r="AJ58" s="30" t="n">
        <f aca="false">AJ10+AJ11+AJ57</f>
        <v>1627382.762285</v>
      </c>
      <c r="AK58" s="30" t="n">
        <f aca="false">AK10+AK11+AK57</f>
        <v>989150.11</v>
      </c>
      <c r="AL58" s="30" t="n">
        <f aca="false">AL10+AL11+AL57</f>
        <v>1104965.39</v>
      </c>
      <c r="AM58" s="30" t="n">
        <f aca="false">AM10+AM11+AM57</f>
        <v>1201127.88</v>
      </c>
      <c r="AN58" s="30" t="n">
        <f aca="false">AN10+AN11+AN57</f>
        <v>323153.08</v>
      </c>
      <c r="AO58" s="30" t="n">
        <f aca="false">AO10+AO11+AO57</f>
        <v>0</v>
      </c>
      <c r="AP58" s="30" t="n">
        <f aca="false">AP10+AP11+AP57</f>
        <v>0</v>
      </c>
      <c r="AQ58" s="30" t="n">
        <f aca="false">AQ10+AQ11+AQ57</f>
        <v>0</v>
      </c>
      <c r="AR58" s="30" t="n">
        <f aca="false">AR10+AR11+AR57</f>
        <v>0</v>
      </c>
      <c r="AS58" s="30" t="n">
        <f aca="false">AS10+AS11+AS57</f>
        <v>0</v>
      </c>
      <c r="AT58" s="30" t="n">
        <f aca="false">AT10+AT11+AT57</f>
        <v>0</v>
      </c>
      <c r="AU58" s="30" t="n">
        <f aca="false">AU10+AU11+AU57</f>
        <v>0</v>
      </c>
      <c r="AV58" s="30" t="n">
        <f aca="false">AV10+AV11+AV57</f>
        <v>0</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-0</v>
      </c>
      <c r="T71" s="19" t="n">
        <f aca="false">-T24</f>
        <v>-0</v>
      </c>
      <c r="U71" s="19" t="n">
        <f aca="false">-U24</f>
        <v>-0</v>
      </c>
      <c r="V71" s="19" t="n">
        <f aca="false">-V24</f>
        <v>-0</v>
      </c>
      <c r="W71" s="19" t="n">
        <f aca="false">-W24</f>
        <v>-0</v>
      </c>
      <c r="X71" s="19" t="n">
        <f aca="false">-X24</f>
        <v>-0</v>
      </c>
      <c r="Y71" s="19" t="n">
        <f aca="false">-Y24</f>
        <v>-0</v>
      </c>
      <c r="Z71" s="19" t="n">
        <f aca="false">-Z24</f>
        <v>-0</v>
      </c>
      <c r="AA71" s="19" t="n">
        <f aca="false">-AA24</f>
        <v>-0</v>
      </c>
      <c r="AB71" s="19" t="n">
        <f aca="false">-AB24</f>
        <v>-0</v>
      </c>
      <c r="AC71" s="19" t="n">
        <f aca="false">-AC24</f>
        <v>-0</v>
      </c>
      <c r="AD71" s="19" t="n">
        <f aca="false">-AD24</f>
        <v>-0</v>
      </c>
      <c r="AE71" s="19" t="n">
        <f aca="false">-AE24</f>
        <v>-0</v>
      </c>
      <c r="AF71" s="19" t="n">
        <f aca="false">-AF24</f>
        <v>-0</v>
      </c>
      <c r="AG71" s="19" t="n">
        <f aca="false">-AG24</f>
        <v>-0</v>
      </c>
      <c r="AH71" s="19" t="n">
        <f aca="false">-AH24</f>
        <v>-0</v>
      </c>
      <c r="AI71" s="19" t="n">
        <f aca="false">-AI24</f>
        <v>-0</v>
      </c>
      <c r="AJ71" s="19" t="n">
        <f aca="false">-AJ24</f>
        <v>-0</v>
      </c>
      <c r="AK71" s="19" t="n">
        <f aca="false">-AK24</f>
        <v>-0</v>
      </c>
      <c r="AL71" s="19" t="n">
        <f aca="false">-AL24</f>
        <v>-0</v>
      </c>
      <c r="AM71" s="19" t="n">
        <f aca="false">-AM24</f>
        <v>-0</v>
      </c>
      <c r="AN71" s="19" t="n">
        <f aca="false">-AN24</f>
        <v>-0</v>
      </c>
      <c r="AO71" s="19" t="n">
        <f aca="false">-AO24</f>
        <v>-0</v>
      </c>
      <c r="AP71" s="19" t="n">
        <f aca="false">-AP24</f>
        <v>-0</v>
      </c>
      <c r="AQ71" s="19" t="n">
        <f aca="false">-AQ24</f>
        <v>-0</v>
      </c>
      <c r="AR71" s="19" t="n">
        <f aca="false">-AR24</f>
        <v>-0</v>
      </c>
      <c r="AS71" s="19" t="n">
        <f aca="false">-AS24</f>
        <v>-0</v>
      </c>
      <c r="AT71" s="19" t="n">
        <f aca="false">-AT24</f>
        <v>-0</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-6375014.85155909</v>
      </c>
      <c r="R104" s="30" t="n">
        <f aca="false">SUM(R60:R103)</f>
        <v>-6396554.75106239</v>
      </c>
      <c r="S104" s="30" t="n">
        <f aca="false">SUM(S60:S103)</f>
        <v>-6780213.96728289</v>
      </c>
      <c r="T104" s="30" t="n">
        <f aca="false">SUM(T60:T103)</f>
        <v>-7701081.47209984</v>
      </c>
      <c r="U104" s="30" t="n">
        <f aca="false">SUM(U60:U103)</f>
        <v>-7044732.17715409</v>
      </c>
      <c r="V104" s="30" t="n">
        <f aca="false">SUM(V60:V103)</f>
        <v>-7487058.45407874</v>
      </c>
      <c r="W104" s="30" t="n">
        <f aca="false">SUM(W60:W103)</f>
        <v>-6085748.40877329</v>
      </c>
      <c r="X104" s="30" t="n">
        <f aca="false">SUM(X60:X103)</f>
        <v>-7148502.96882478</v>
      </c>
      <c r="Y104" s="30" t="n">
        <f aca="false">SUM(Y60:Y103)</f>
        <v>-5744951.27782348</v>
      </c>
      <c r="Z104" s="30" t="n">
        <f aca="false">SUM(Z60:Z103)</f>
        <v>-6315945.84685093</v>
      </c>
      <c r="AA104" s="30" t="n">
        <f aca="false">SUM(AA60:AA103)</f>
        <v>-5448072.8474083</v>
      </c>
      <c r="AB104" s="30" t="n">
        <f aca="false">SUM(AB60:AB103)</f>
        <v>-4180527.058837</v>
      </c>
      <c r="AC104" s="30" t="n">
        <f aca="false">SUM(AC60:AC103)</f>
        <v>-3197232.9318362</v>
      </c>
      <c r="AD104" s="30" t="n">
        <f aca="false">SUM(AD60:AD103)</f>
        <v>-3058912.6647247</v>
      </c>
      <c r="AE104" s="30" t="n">
        <f aca="false">SUM(AE60:AE103)</f>
        <v>-2689092.16738295</v>
      </c>
      <c r="AF104" s="30" t="n">
        <f aca="false">SUM(AF60:AF103)</f>
        <v>-2487313.31670724</v>
      </c>
      <c r="AG104" s="30" t="n">
        <f aca="false">SUM(AG60:AG103)</f>
        <v>-2843009.93982497</v>
      </c>
      <c r="AH104" s="30" t="n">
        <f aca="false">SUM(AH60:AH103)</f>
        <v>-2461383.21598386</v>
      </c>
      <c r="AI104" s="30" t="n">
        <f aca="false">SUM(AI60:AI103)</f>
        <v>-2330268.61483886</v>
      </c>
      <c r="AJ104" s="30" t="n">
        <f aca="false">SUM(AJ60:AJ103)</f>
        <v>-1250829.53347611</v>
      </c>
      <c r="AK104" s="30" t="n">
        <f aca="false">SUM(AK60:AK103)</f>
        <v>-866931.3</v>
      </c>
      <c r="AL104" s="30" t="n">
        <f aca="false">SUM(AL60:AL103)</f>
        <v>-968436.51</v>
      </c>
      <c r="AM104" s="30" t="n">
        <f aca="false">SUM(AM60:AM103)</f>
        <v>-1052717.22</v>
      </c>
      <c r="AN104" s="30" t="n">
        <f aca="false">SUM(AN60:AN103)</f>
        <v>-283224.47</v>
      </c>
      <c r="AO104" s="30" t="n">
        <f aca="false">SUM(AO60:AO103)</f>
        <v>0</v>
      </c>
      <c r="AP104" s="30" t="n">
        <f aca="false">SUM(AP60:AP103)</f>
        <v>0</v>
      </c>
      <c r="AQ104" s="30" t="n">
        <f aca="false">SUM(AQ60:AQ103)</f>
        <v>0</v>
      </c>
      <c r="AR104" s="30" t="n">
        <f aca="false">SUM(AR60:AR103)</f>
        <v>0</v>
      </c>
      <c r="AS104" s="30" t="n">
        <f aca="false">SUM(AS60:AS103)</f>
        <v>0</v>
      </c>
      <c r="AT104" s="30" t="n">
        <f aca="false">SUM(AT60:AT103)</f>
        <v>0</v>
      </c>
      <c r="AU104" s="30" t="n">
        <f aca="false">SUM(AU60:AU103)</f>
        <v>0</v>
      </c>
      <c r="AV104" s="30" t="n">
        <f aca="false">SUM(AV60:AV103)</f>
        <v>0</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0</v>
      </c>
      <c r="R150" s="30" t="n">
        <f aca="false">SUM(R106:R149)</f>
        <v>0</v>
      </c>
      <c r="S150" s="30" t="n">
        <f aca="false">SUM(S106:S149)</f>
        <v>0</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0</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0</v>
      </c>
      <c r="R196" s="30" t="n">
        <f aca="false">SUM(R152:R195)</f>
        <v>0</v>
      </c>
      <c r="S196" s="30" t="n">
        <f aca="false">SUM(S152:S195)</f>
        <v>0</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799056.457819715</v>
      </c>
      <c r="R199" s="32" t="n">
        <f aca="false">R197+R198+R10+R11+R57+R104+R196</f>
        <v>743138.417819715</v>
      </c>
      <c r="S199" s="32" t="n">
        <f aca="false">S197+S198+S10+S11+S57+S104+S196</f>
        <v>728919.357819716</v>
      </c>
      <c r="T199" s="32" t="n">
        <f aca="false">T197+T198+T10+T11+T57+T104+T196</f>
        <v>805897.637819715</v>
      </c>
      <c r="U199" s="32" t="n">
        <f aca="false">U197+U198+U10+U11+U57+U104+U196</f>
        <v>700168.347819716</v>
      </c>
      <c r="V199" s="32" t="n">
        <f aca="false">V197+V198+V10+V11+V57+V104+V196</f>
        <v>778747.437819713</v>
      </c>
      <c r="W199" s="32" t="n">
        <f aca="false">W197+W198+W10+W11+W57+W104+W196</f>
        <v>667061.137819716</v>
      </c>
      <c r="X199" s="32" t="n">
        <f aca="false">X197+X198+X10+X11+X57+X104+X196</f>
        <v>841676.677819715</v>
      </c>
      <c r="Y199" s="32" t="n">
        <f aca="false">Y197+Y198+Y10+Y11+Y57+Y104+Y196</f>
        <v>679915.857819716</v>
      </c>
      <c r="Z199" s="32" t="n">
        <f aca="false">Z197+Z198+Z10+Z11+Z57+Z104+Z196</f>
        <v>806262.037819715</v>
      </c>
      <c r="AA199" s="32" t="n">
        <f aca="false">AA197+AA198+AA10+AA11+AA57+AA104+AA196</f>
        <v>835500.691180855</v>
      </c>
      <c r="AB199" s="32" t="n">
        <f aca="false">AB197+AB198+AB10+AB11+AB57+AB104+AB196</f>
        <v>649168.969080353</v>
      </c>
      <c r="AC199" s="32" t="n">
        <f aca="false">AC197+AC198+AC10+AC11+AC57+AC104+AC196</f>
        <v>420443.499836798</v>
      </c>
      <c r="AD199" s="32" t="n">
        <f aca="false">AD197+AD198+AD10+AD11+AD57+AD104+AD196</f>
        <v>443393.409836798</v>
      </c>
      <c r="AE199" s="32" t="n">
        <f aca="false">AE197+AE198+AE10+AE11+AE57+AE104+AE196</f>
        <v>434325.419836798</v>
      </c>
      <c r="AF199" s="32" t="n">
        <f aca="false">AF197+AF198+AF10+AF11+AF57+AF104+AF196</f>
        <v>603945.23395151</v>
      </c>
      <c r="AG199" s="32" t="n">
        <f aca="false">AG197+AG198+AG10+AG11+AG57+AG104+AG196</f>
        <v>514042.322203035</v>
      </c>
      <c r="AH199" s="32" t="n">
        <f aca="false">AH197+AH198+AH10+AH11+AH57+AH104+AH196</f>
        <v>377348.999241136</v>
      </c>
      <c r="AI199" s="32" t="n">
        <f aca="false">AI197+AI198+AI10+AI11+AI57+AI104+AI196</f>
        <v>371182.129241135</v>
      </c>
      <c r="AJ199" s="32" t="n">
        <f aca="false">AJ197+AJ198+AJ10+AJ11+AJ57+AJ104+AJ196</f>
        <v>376553.228808885</v>
      </c>
      <c r="AK199" s="32" t="n">
        <f aca="false">AK197+AK198+AK10+AK11+AK57+AK104+AK196</f>
        <v>122218.81</v>
      </c>
      <c r="AL199" s="32" t="n">
        <f aca="false">AL197+AL198+AL10+AL11+AL57+AL104+AL196</f>
        <v>136528.88</v>
      </c>
      <c r="AM199" s="32" t="n">
        <f aca="false">AM197+AM198+AM10+AM11+AM57+AM104+AM196</f>
        <v>148410.66</v>
      </c>
      <c r="AN199" s="32" t="n">
        <f aca="false">AN197+AN198+AN10+AN11+AN57+AN104+AN196</f>
        <v>39928.61</v>
      </c>
      <c r="AO199" s="32" t="n">
        <f aca="false">AO197+AO198+AO10+AO11+AO57+AO104+AO196</f>
        <v>0</v>
      </c>
      <c r="AP199" s="32" t="n">
        <f aca="false">AP197+AP198+AP10+AP11+AP57+AP104+AP196</f>
        <v>0</v>
      </c>
      <c r="AQ199" s="32" t="n">
        <f aca="false">AQ197+AQ198+AQ10+AQ11+AQ57+AQ104+AQ196</f>
        <v>0</v>
      </c>
      <c r="AR199" s="32" t="n">
        <f aca="false">AR197+AR198+AR10+AR11+AR57+AR104+AR196</f>
        <v>0</v>
      </c>
      <c r="AS199" s="32" t="n">
        <f aca="false">AS197+AS198+AS10+AS11+AS57+AS104+AS196</f>
        <v>0</v>
      </c>
      <c r="AT199" s="32" t="n">
        <f aca="false">AT197+AT198+AT10+AT11+AT57+AT104+AT196</f>
        <v>0</v>
      </c>
      <c r="AU199" s="32" t="n">
        <f aca="false">AU197+AU198+AU10+AU11+AU57+AU104+AU196</f>
        <v>0</v>
      </c>
      <c r="AV199" s="32" t="n">
        <f aca="false">AV197+AV198+AV10+AV11+AV57+AV104+AV196</f>
        <v>0</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0.111172870860003</v>
      </c>
      <c r="R200" s="33" t="n">
        <f aca="false">IFERROR(R199/R58,0)</f>
        <v>0.104331513802546</v>
      </c>
      <c r="S200" s="33" t="n">
        <f aca="false">IFERROR(S199/S58,0)</f>
        <v>0.0978498251585811</v>
      </c>
      <c r="T200" s="33" t="n">
        <f aca="false">IFERROR(T199/T58,0)</f>
        <v>0.0949667128001542</v>
      </c>
      <c r="U200" s="33" t="n">
        <f aca="false">IFERROR(U199/U58,0)</f>
        <v>0.0904423476427712</v>
      </c>
      <c r="V200" s="33" t="n">
        <f aca="false">IFERROR(V199/V58,0)</f>
        <v>0.0941740165963628</v>
      </c>
      <c r="W200" s="33" t="n">
        <f aca="false">IFERROR(W199/W58,0)</f>
        <v>0.0986981985141507</v>
      </c>
      <c r="X200" s="33" t="n">
        <f aca="false">IFERROR(X199/X58,0)</f>
        <v>0.105338892871223</v>
      </c>
      <c r="Y200" s="33" t="n">
        <f aca="false">IFERROR(Y199/Y58,0)</f>
        <v>0.105825668214639</v>
      </c>
      <c r="Z200" s="33" t="n">
        <f aca="false">IFERROR(Z199/Z58,0)</f>
        <v>0.113203946146399</v>
      </c>
      <c r="AA200" s="33" t="n">
        <f aca="false">IFERROR(AA199/AA58,0)</f>
        <v>0.132965849138204</v>
      </c>
      <c r="AB200" s="33" t="n">
        <f aca="false">IFERROR(AB199/AB58,0)</f>
        <v>0.13441197237423</v>
      </c>
      <c r="AC200" s="33" t="n">
        <f aca="false">IFERROR(AC199/AC58,0)</f>
        <v>0.116219210804976</v>
      </c>
      <c r="AD200" s="33" t="n">
        <f aca="false">IFERROR(AD199/AD58,0)</f>
        <v>0.126600417095845</v>
      </c>
      <c r="AE200" s="33" t="n">
        <f aca="false">IFERROR(AE199/AE58,0)</f>
        <v>0.139054547689668</v>
      </c>
      <c r="AF200" s="33" t="n">
        <f aca="false">IFERROR(AF199/AF58,0)</f>
        <v>0.195371957425822</v>
      </c>
      <c r="AG200" s="33" t="n">
        <f aca="false">IFERROR(AG199/AG58,0)</f>
        <v>0.1531231217391</v>
      </c>
      <c r="AH200" s="33" t="n">
        <f aca="false">IFERROR(AH199/AH58,0)</f>
        <v>0.13292870571493</v>
      </c>
      <c r="AI200" s="33" t="n">
        <f aca="false">IFERROR(AI199/AI58,0)</f>
        <v>0.137401035371291</v>
      </c>
      <c r="AJ200" s="33" t="n">
        <f aca="false">IFERROR(AJ199/AJ58,0)</f>
        <v>0.231385779384912</v>
      </c>
      <c r="AK200" s="33" t="n">
        <f aca="false">IFERROR(AK199/AK58,0)</f>
        <v>0.123559416072855</v>
      </c>
      <c r="AL200" s="33" t="n">
        <f aca="false">IFERROR(AL199/AL58,0)</f>
        <v>0.123559417548816</v>
      </c>
      <c r="AM200" s="33" t="n">
        <f aca="false">IFERROR(AM199/AM58,0)</f>
        <v>0.123559416504427</v>
      </c>
      <c r="AN200" s="33" t="n">
        <f aca="false">IFERROR(AN199/AN58,0)</f>
        <v>0.123559428862631</v>
      </c>
      <c r="AO200" s="33" t="n">
        <f aca="false">IFERROR(AO199/AO58,0)</f>
        <v>0</v>
      </c>
      <c r="AP200" s="33" t="n">
        <f aca="false">IFERROR(AP199/AP58,0)</f>
        <v>0</v>
      </c>
      <c r="AQ200" s="33" t="n">
        <f aca="false">IFERROR(AQ199/AQ58,0)</f>
        <v>0</v>
      </c>
      <c r="AR200" s="33" t="n">
        <f aca="false">IFERROR(AR199/AR58,0)</f>
        <v>0</v>
      </c>
      <c r="AS200" s="33" t="n">
        <f aca="false">IFERROR(AS199/AS58,0)</f>
        <v>0</v>
      </c>
      <c r="AT200" s="33" t="n">
        <f aca="false">IFERROR(AT199/AT58,0)</f>
        <v>0</v>
      </c>
      <c r="AU200" s="33" t="n">
        <f aca="false">IFERROR(AU199/AU58,0)</f>
        <v>0</v>
      </c>
      <c r="AV200" s="33" t="n">
        <f aca="false">IFERROR(AV199/AV58,0)</f>
        <v>0</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-357048.62</v>
      </c>
      <c r="R203" s="13" t="n">
        <f aca="false">IF(ISBLANK(Actuals!S21),(-(SUMPRODUCT((Personnel!$O$9:$O$100="GC")*(Personnel!$G$9:$G$100="Yes")*(14&gt;=Personnel!$E$9:$E$100)*((Personnel!$K$9:$K$100="")+(14&lt;=Personnel!$K$9:$K$100)&gt;0)*Personnel!$D$9:$D$100*(1-Personnel!$H$9:$H$100))+Staffing!R81))*Escalation!$B$15,Actuals!S21)</f>
        <v>-357048.62</v>
      </c>
      <c r="S203" s="13" t="n">
        <f aca="false">IF(ISBLANK(Actuals!T21),(-(SUMPRODUCT((Personnel!$O$9:$O$100="GC")*(Personnel!$G$9:$G$100="Yes")*(15&gt;=Personnel!$E$9:$E$100)*((Personnel!$K$9:$K$100="")+(15&lt;=Personnel!$K$9:$K$100)&gt;0)*Personnel!$D$9:$D$100*(1-Personnel!$H$9:$H$100))+Staffing!S81))*Escalation!$B$16,Actuals!T21)</f>
        <v>-357048.62</v>
      </c>
      <c r="T203" s="13" t="n">
        <f aca="false">IF(ISBLANK(Actuals!U21),(-(SUMPRODUCT((Personnel!$O$9:$O$100="GC")*(Personnel!$G$9:$G$100="Yes")*(16&gt;=Personnel!$E$9:$E$100)*((Personnel!$K$9:$K$100="")+(16&lt;=Personnel!$K$9:$K$100)&gt;0)*Personnel!$D$9:$D$100*(1-Personnel!$H$9:$H$100))+Staffing!T81))*Escalation!$B$17,Actuals!U21)</f>
        <v>-357048.62</v>
      </c>
      <c r="U203" s="13" t="n">
        <f aca="false">IF(ISBLANK(Actuals!V21),(-(SUMPRODUCT((Personnel!$O$9:$O$100="GC")*(Personnel!$G$9:$G$100="Yes")*(17&gt;=Personnel!$E$9:$E$100)*((Personnel!$K$9:$K$100="")+(17&lt;=Personnel!$K$9:$K$100)&gt;0)*Personnel!$D$9:$D$100*(1-Personnel!$H$9:$H$100))+Staffing!U81))*Escalation!$B$18,Actuals!V21)</f>
        <v>-357048.62</v>
      </c>
      <c r="V203" s="13" t="n">
        <f aca="false">IF(ISBLANK(Actuals!W21),(-(SUMPRODUCT((Personnel!$O$9:$O$100="GC")*(Personnel!$G$9:$G$100="Yes")*(18&gt;=Personnel!$E$9:$E$100)*((Personnel!$K$9:$K$100="")+(18&lt;=Personnel!$K$9:$K$100)&gt;0)*Personnel!$D$9:$D$100*(1-Personnel!$H$9:$H$100))+Staffing!V81))*Escalation!$B$19,Actuals!W21)</f>
        <v>-341748.62</v>
      </c>
      <c r="W203" s="13" t="n">
        <f aca="false">IF(ISBLANK(Actuals!X21),(-(SUMPRODUCT((Personnel!$O$9:$O$100="GC")*(Personnel!$G$9:$G$100="Yes")*(19&gt;=Personnel!$E$9:$E$100)*((Personnel!$K$9:$K$100="")+(19&lt;=Personnel!$K$9:$K$100)&gt;0)*Personnel!$D$9:$D$100*(1-Personnel!$H$9:$H$100))+Staffing!W81))*Escalation!$B$20,Actuals!X21)</f>
        <v>-341748.62</v>
      </c>
      <c r="X203" s="13" t="n">
        <f aca="false">IF(ISBLANK(Actuals!Y21),(-(SUMPRODUCT((Personnel!$O$9:$O$100="GC")*(Personnel!$G$9:$G$100="Yes")*(20&gt;=Personnel!$E$9:$E$100)*((Personnel!$K$9:$K$100="")+(20&lt;=Personnel!$K$9:$K$100)&gt;0)*Personnel!$D$9:$D$100*(1-Personnel!$H$9:$H$100))+Staffing!X81))*Escalation!$B$21,Actuals!Y21)</f>
        <v>-341748.62</v>
      </c>
      <c r="Y203" s="13" t="n">
        <f aca="false">IF(ISBLANK(Actuals!Z21),(-(SUMPRODUCT((Personnel!$O$9:$O$100="GC")*(Personnel!$G$9:$G$100="Yes")*(21&gt;=Personnel!$E$9:$E$100)*((Personnel!$K$9:$K$100="")+(21&lt;=Personnel!$K$9:$K$100)&gt;0)*Personnel!$D$9:$D$100*(1-Personnel!$H$9:$H$100))+Staffing!Y81))*Escalation!$B$22,Actuals!Z21)</f>
        <v>-334948.62</v>
      </c>
      <c r="Z203" s="13" t="n">
        <f aca="false">IF(ISBLANK(Actuals!AA21),(-(SUMPRODUCT((Personnel!$O$9:$O$100="GC")*(Personnel!$G$9:$G$100="Yes")*(22&gt;=Personnel!$E$9:$E$100)*((Personnel!$K$9:$K$100="")+(22&lt;=Personnel!$K$9:$K$100)&gt;0)*Personnel!$D$9:$D$100*(1-Personnel!$H$9:$H$100))+Staffing!Z81))*Escalation!$B$23,Actuals!AA21)</f>
        <v>-299673.62</v>
      </c>
      <c r="AA203" s="13" t="n">
        <f aca="false">IF(ISBLANK(Actuals!AB21),(-(SUMPRODUCT((Personnel!$O$9:$O$100="GC")*(Personnel!$G$9:$G$100="Yes")*(23&gt;=Personnel!$E$9:$E$100)*((Personnel!$K$9:$K$100="")+(23&lt;=Personnel!$K$9:$K$100)&gt;0)*Personnel!$D$9:$D$100*(1-Personnel!$H$9:$H$100))+Staffing!AA81))*Escalation!$B$24,Actuals!AB21)</f>
        <v>-299673.62</v>
      </c>
      <c r="AB203" s="13" t="n">
        <f aca="false">IF(ISBLANK(Actuals!AC21),(-(SUMPRODUCT((Personnel!$O$9:$O$100="GC")*(Personnel!$G$9:$G$100="Yes")*(24&gt;=Personnel!$E$9:$E$100)*((Personnel!$K$9:$K$100="")+(24&lt;=Personnel!$K$9:$K$100)&gt;0)*Personnel!$D$9:$D$100*(1-Personnel!$H$9:$H$100))+Staffing!AB81))*Escalation!$B$25,Actuals!AC21)</f>
        <v>-286073.62</v>
      </c>
      <c r="AC203" s="13" t="n">
        <f aca="false">IF(ISBLANK(Actuals!AD21),(-(SUMPRODUCT((Personnel!$O$9:$O$100="GC")*(Personnel!$G$9:$G$100="Yes")*(25&gt;=Personnel!$E$9:$E$100)*((Personnel!$K$9:$K$100="")+(25&lt;=Personnel!$K$9:$K$100)&gt;0)*Personnel!$D$9:$D$100*(1-Personnel!$H$9:$H$100))+Staffing!AC81))*Escalation!$B$26,Actuals!AD21)</f>
        <v>-267085.5924</v>
      </c>
      <c r="AD203" s="13" t="n">
        <f aca="false">IF(ISBLANK(Actuals!AE21),(-(SUMPRODUCT((Personnel!$O$9:$O$100="GC")*(Personnel!$G$9:$G$100="Yes")*(26&gt;=Personnel!$E$9:$E$100)*((Personnel!$K$9:$K$100="")+(26&lt;=Personnel!$K$9:$K$100)&gt;0)*Personnel!$D$9:$D$100*(1-Personnel!$H$9:$H$100))+Staffing!AD81))*Escalation!$B$27,Actuals!AE21)</f>
        <v>-267085.5924</v>
      </c>
      <c r="AE203" s="13" t="n">
        <f aca="false">IF(ISBLANK(Actuals!AF21),(-(SUMPRODUCT((Personnel!$O$9:$O$100="GC")*(Personnel!$G$9:$G$100="Yes")*(27&gt;=Personnel!$E$9:$E$100)*((Personnel!$K$9:$K$100="")+(27&lt;=Personnel!$K$9:$K$100)&gt;0)*Personnel!$D$9:$D$100*(1-Personnel!$H$9:$H$100))+Staffing!AE81))*Escalation!$B$28,Actuals!AF21)</f>
        <v>-267085.5924</v>
      </c>
      <c r="AF203" s="13" t="n">
        <f aca="false">IF(ISBLANK(Actuals!AG21),(-(SUMPRODUCT((Personnel!$O$9:$O$100="GC")*(Personnel!$G$9:$G$100="Yes")*(28&gt;=Personnel!$E$9:$E$100)*((Personnel!$K$9:$K$100="")+(28&lt;=Personnel!$K$9:$K$100)&gt;0)*Personnel!$D$9:$D$100*(1-Personnel!$H$9:$H$100))+Staffing!AF81))*Escalation!$B$29,Actuals!AG21)</f>
        <v>-267085.5924</v>
      </c>
      <c r="AG203" s="13" t="n">
        <f aca="false">IF(ISBLANK(Actuals!AH21),(-(SUMPRODUCT((Personnel!$O$9:$O$100="GC")*(Personnel!$G$9:$G$100="Yes")*(29&gt;=Personnel!$E$9:$E$100)*((Personnel!$K$9:$K$100="")+(29&lt;=Personnel!$K$9:$K$100)&gt;0)*Personnel!$D$9:$D$100*(1-Personnel!$H$9:$H$100))+Staffing!AG81))*Escalation!$B$30,Actuals!AH21)</f>
        <v>-267085.5924</v>
      </c>
      <c r="AH203" s="13" t="n">
        <f aca="false">IF(ISBLANK(Actuals!AI21),(-(SUMPRODUCT((Personnel!$O$9:$O$100="GC")*(Personnel!$G$9:$G$100="Yes")*(30&gt;=Personnel!$E$9:$E$100)*((Personnel!$K$9:$K$100="")+(30&lt;=Personnel!$K$9:$K$100)&gt;0)*Personnel!$D$9:$D$100*(1-Personnel!$H$9:$H$100))+Staffing!AH81))*Escalation!$B$31,Actuals!AI21)</f>
        <v>-267085.5924</v>
      </c>
      <c r="AI203" s="13" t="n">
        <f aca="false">IF(ISBLANK(Actuals!AJ21),(-(SUMPRODUCT((Personnel!$O$9:$O$100="GC")*(Personnel!$G$9:$G$100="Yes")*(31&gt;=Personnel!$E$9:$E$100)*((Personnel!$K$9:$K$100="")+(31&lt;=Personnel!$K$9:$K$100)&gt;0)*Personnel!$D$9:$D$100*(1-Personnel!$H$9:$H$100))+Staffing!AI81))*Escalation!$B$32,Actuals!AJ21)</f>
        <v>-267085.5924</v>
      </c>
      <c r="AJ203" s="13" t="n">
        <f aca="false">IF(ISBLANK(Actuals!AK21),(-(SUMPRODUCT((Personnel!$O$9:$O$100="GC")*(Personnel!$G$9:$G$100="Yes")*(32&gt;=Personnel!$E$9:$E$100)*((Personnel!$K$9:$K$100="")+(32&lt;=Personnel!$K$9:$K$100)&gt;0)*Personnel!$D$9:$D$100*(1-Personnel!$H$9:$H$100))+Staffing!AJ81))*Escalation!$B$33,Actuals!AK21)</f>
        <v>-267085.5924</v>
      </c>
      <c r="AK203" s="13" t="n">
        <f aca="false">IF(ISBLANK(Actuals!AL21),(-(SUMPRODUCT((Personnel!$O$9:$O$100="GC")*(Personnel!$G$9:$G$100="Yes")*(33&gt;=Personnel!$E$9:$E$100)*((Personnel!$K$9:$K$100="")+(33&lt;=Personnel!$K$9:$K$100)&gt;0)*Personnel!$D$9:$D$100*(1-Personnel!$H$9:$H$100))+Staffing!AK81))*Escalation!$B$34,Actuals!AL21)</f>
        <v>-267085.5924</v>
      </c>
      <c r="AL203" s="13" t="n">
        <f aca="false">IF(ISBLANK(Actuals!AM21),(-(SUMPRODUCT((Personnel!$O$9:$O$100="GC")*(Personnel!$G$9:$G$100="Yes")*(34&gt;=Personnel!$E$9:$E$100)*((Personnel!$K$9:$K$100="")+(34&lt;=Personnel!$K$9:$K$100)&gt;0)*Personnel!$D$9:$D$100*(1-Personnel!$H$9:$H$100))+Staffing!AL81))*Escalation!$B$35,Actuals!AM21)</f>
        <v>-267085.5924</v>
      </c>
      <c r="AM203" s="13" t="n">
        <f aca="false">IF(ISBLANK(Actuals!AN21),(-(SUMPRODUCT((Personnel!$O$9:$O$100="GC")*(Personnel!$G$9:$G$100="Yes")*(35&gt;=Personnel!$E$9:$E$100)*((Personnel!$K$9:$K$100="")+(35&lt;=Personnel!$K$9:$K$100)&gt;0)*Personnel!$D$9:$D$100*(1-Personnel!$H$9:$H$100))+Staffing!AM81))*Escalation!$B$36,Actuals!AN21)</f>
        <v>-267085.5924</v>
      </c>
      <c r="AN203" s="13" t="n">
        <f aca="false">IF(ISBLANK(Actuals!AO21),(-(SUMPRODUCT((Personnel!$O$9:$O$100="GC")*(Personnel!$G$9:$G$100="Yes")*(36&gt;=Personnel!$E$9:$E$100)*((Personnel!$K$9:$K$100="")+(36&lt;=Personnel!$K$9:$K$100)&gt;0)*Personnel!$D$9:$D$100*(1-Personnel!$H$9:$H$100))+Staffing!AN81))*Escalation!$B$37,Actuals!AO21)</f>
        <v>-267085.5924</v>
      </c>
      <c r="AO203" s="13" t="n">
        <f aca="false">IF(ISBLANK(Actuals!AP21),(-(SUMPRODUCT((Personnel!$O$9:$O$100="GC")*(Personnel!$G$9:$G$100="Yes")*(37&gt;=Personnel!$E$9:$E$100)*((Personnel!$K$9:$K$100="")+(37&lt;=Personnel!$K$9:$K$100)&gt;0)*Personnel!$D$9:$D$100*(1-Personnel!$H$9:$H$100))+Staffing!AO81))*Escalation!$B$38,Actuals!AP21)</f>
        <v>-272427.304248</v>
      </c>
      <c r="AP203" s="13" t="n">
        <f aca="false">IF(ISBLANK(Actuals!AQ21),(-(SUMPRODUCT((Personnel!$O$9:$O$100="GC")*(Personnel!$G$9:$G$100="Yes")*(38&gt;=Personnel!$E$9:$E$100)*((Personnel!$K$9:$K$100="")+(38&lt;=Personnel!$K$9:$K$100)&gt;0)*Personnel!$D$9:$D$100*(1-Personnel!$H$9:$H$100))+Staffing!AP81))*Escalation!$B$39,Actuals!AQ21)</f>
        <v>-272427.304248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-28860.9034</v>
      </c>
      <c r="R204" s="13" t="n">
        <f aca="false">IF(ISBLANK(Actuals!S22),-Helpers!P4*Assumptions!$B$20,Actuals!S22)</f>
        <v>-28860.9034</v>
      </c>
      <c r="S204" s="13" t="n">
        <f aca="false">IF(ISBLANK(Actuals!T22),-Helpers!Q4*Assumptions!$B$20,Actuals!T22)</f>
        <v>-28860.9034</v>
      </c>
      <c r="T204" s="13" t="n">
        <f aca="false">IF(ISBLANK(Actuals!U22),-Helpers!R4*Assumptions!$B$20,Actuals!U22)</f>
        <v>-28860.9034</v>
      </c>
      <c r="U204" s="13" t="n">
        <f aca="false">IF(ISBLANK(Actuals!V22),-Helpers!S4*Assumptions!$B$20,Actuals!V22)</f>
        <v>-28860.9034</v>
      </c>
      <c r="V204" s="13" t="n">
        <f aca="false">IF(ISBLANK(Actuals!W22),-Helpers!T4*Assumptions!$B$20,Actuals!W22)</f>
        <v>-27789.9034</v>
      </c>
      <c r="W204" s="13" t="n">
        <f aca="false">IF(ISBLANK(Actuals!X22),-Helpers!U4*Assumptions!$B$20,Actuals!X22)</f>
        <v>-27789.9034</v>
      </c>
      <c r="X204" s="13" t="n">
        <f aca="false">IF(ISBLANK(Actuals!Y22),-Helpers!V4*Assumptions!$B$20,Actuals!Y22)</f>
        <v>-27789.9034</v>
      </c>
      <c r="Y204" s="13" t="n">
        <f aca="false">IF(ISBLANK(Actuals!Z22),-Helpers!W4*Assumptions!$B$20,Actuals!Z22)</f>
        <v>-27313.9034</v>
      </c>
      <c r="Z204" s="13" t="n">
        <f aca="false">IF(ISBLANK(Actuals!AA22),-Helpers!X4*Assumptions!$B$20,Actuals!AA22)</f>
        <v>-24844.6534</v>
      </c>
      <c r="AA204" s="13" t="n">
        <f aca="false">IF(ISBLANK(Actuals!AB22),-Helpers!Y4*Assumptions!$B$20,Actuals!AB22)</f>
        <v>-24844.6534</v>
      </c>
      <c r="AB204" s="13" t="n">
        <f aca="false">IF(ISBLANK(Actuals!AC22),-Helpers!Z4*Assumptions!$B$20,Actuals!AC22)</f>
        <v>-23892.6534</v>
      </c>
      <c r="AC204" s="13" t="n">
        <f aca="false">IF(ISBLANK(Actuals!AD22),-Helpers!AA4*Assumptions!$B$20,Actuals!AD22)</f>
        <v>-22640.841468</v>
      </c>
      <c r="AD204" s="13" t="n">
        <f aca="false">IF(ISBLANK(Actuals!AE22),-Helpers!AB4*Assumptions!$B$20,Actuals!AE22)</f>
        <v>-22640.841468</v>
      </c>
      <c r="AE204" s="13" t="n">
        <f aca="false">IF(ISBLANK(Actuals!AF22),-Helpers!AC4*Assumptions!$B$20,Actuals!AF22)</f>
        <v>-22640.841468</v>
      </c>
      <c r="AF204" s="13" t="n">
        <f aca="false">IF(ISBLANK(Actuals!AG22),-Helpers!AD4*Assumptions!$B$20,Actuals!AG22)</f>
        <v>-22640.841468</v>
      </c>
      <c r="AG204" s="13" t="n">
        <f aca="false">IF(ISBLANK(Actuals!AH22),-Helpers!AE4*Assumptions!$B$20,Actuals!AH22)</f>
        <v>-22640.841468</v>
      </c>
      <c r="AH204" s="13" t="n">
        <f aca="false">IF(ISBLANK(Actuals!AI22),-Helpers!AF4*Assumptions!$B$20,Actuals!AI22)</f>
        <v>-22640.841468</v>
      </c>
      <c r="AI204" s="13" t="n">
        <f aca="false">IF(ISBLANK(Actuals!AJ22),-Helpers!AG4*Assumptions!$B$20,Actuals!AJ22)</f>
        <v>-22640.841468</v>
      </c>
      <c r="AJ204" s="13" t="n">
        <f aca="false">IF(ISBLANK(Actuals!AK22),-Helpers!AH4*Assumptions!$B$20,Actuals!AK22)</f>
        <v>-22640.841468</v>
      </c>
      <c r="AK204" s="13" t="n">
        <f aca="false">IF(ISBLANK(Actuals!AL22),-Helpers!AI4*Assumptions!$B$20,Actuals!AL22)</f>
        <v>-22640.841468</v>
      </c>
      <c r="AL204" s="13" t="n">
        <f aca="false">IF(ISBLANK(Actuals!AM22),-Helpers!AJ4*Assumptions!$B$20,Actuals!AM22)</f>
        <v>-22640.841468</v>
      </c>
      <c r="AM204" s="13" t="n">
        <f aca="false">IF(ISBLANK(Actuals!AN22),-Helpers!AK4*Assumptions!$B$20,Actuals!AN22)</f>
        <v>-22640.841468</v>
      </c>
      <c r="AN204" s="13" t="n">
        <f aca="false">IF(ISBLANK(Actuals!AO22),-Helpers!AL4*Assumptions!$B$20,Actuals!AO22)</f>
        <v>-22640.841468</v>
      </c>
      <c r="AO204" s="13" t="n">
        <f aca="false">IF(ISBLANK(Actuals!AP22),-Helpers!AM4*Assumptions!$B$20,Actuals!AP22)</f>
        <v>-23093.65829736</v>
      </c>
      <c r="AP204" s="13" t="n">
        <f aca="false">IF(ISBLANK(Actuals!AQ22),-Helpers!AN4*Assumptions!$B$20,Actuals!AQ22)</f>
        <v>-23093.65829736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-20614.931</v>
      </c>
      <c r="R206" s="13" t="n">
        <f aca="false">IF(ISBLANK(Actuals!S24),-Helpers!P4*Assumptions!$B$22,Actuals!S24)</f>
        <v>-20614.931</v>
      </c>
      <c r="S206" s="13" t="n">
        <f aca="false">IF(ISBLANK(Actuals!T24),-Helpers!Q4*Assumptions!$B$22,Actuals!T24)</f>
        <v>-20614.931</v>
      </c>
      <c r="T206" s="13" t="n">
        <f aca="false">IF(ISBLANK(Actuals!U24),-Helpers!R4*Assumptions!$B$22,Actuals!U24)</f>
        <v>-20614.931</v>
      </c>
      <c r="U206" s="13" t="n">
        <f aca="false">IF(ISBLANK(Actuals!V24),-Helpers!S4*Assumptions!$B$22,Actuals!V24)</f>
        <v>-20614.931</v>
      </c>
      <c r="V206" s="13" t="n">
        <f aca="false">IF(ISBLANK(Actuals!W24),-Helpers!T4*Assumptions!$B$22,Actuals!W24)</f>
        <v>-19849.931</v>
      </c>
      <c r="W206" s="13" t="n">
        <f aca="false">IF(ISBLANK(Actuals!X24),-Helpers!U4*Assumptions!$B$22,Actuals!X24)</f>
        <v>-19849.931</v>
      </c>
      <c r="X206" s="13" t="n">
        <f aca="false">IF(ISBLANK(Actuals!Y24),-Helpers!V4*Assumptions!$B$22,Actuals!Y24)</f>
        <v>-19849.931</v>
      </c>
      <c r="Y206" s="13" t="n">
        <f aca="false">IF(ISBLANK(Actuals!Z24),-Helpers!W4*Assumptions!$B$22,Actuals!Z24)</f>
        <v>-19509.931</v>
      </c>
      <c r="Z206" s="13" t="n">
        <f aca="false">IF(ISBLANK(Actuals!AA24),-Helpers!X4*Assumptions!$B$22,Actuals!AA24)</f>
        <v>-17746.181</v>
      </c>
      <c r="AA206" s="13" t="n">
        <f aca="false">IF(ISBLANK(Actuals!AB24),-Helpers!Y4*Assumptions!$B$22,Actuals!AB24)</f>
        <v>-17746.181</v>
      </c>
      <c r="AB206" s="13" t="n">
        <f aca="false">IF(ISBLANK(Actuals!AC24),-Helpers!Z4*Assumptions!$B$22,Actuals!AC24)</f>
        <v>-17066.181</v>
      </c>
      <c r="AC206" s="13" t="n">
        <f aca="false">IF(ISBLANK(Actuals!AD24),-Helpers!AA4*Assumptions!$B$22,Actuals!AD24)</f>
        <v>-16172.02962</v>
      </c>
      <c r="AD206" s="13" t="n">
        <f aca="false">IF(ISBLANK(Actuals!AE24),-Helpers!AB4*Assumptions!$B$22,Actuals!AE24)</f>
        <v>-16172.02962</v>
      </c>
      <c r="AE206" s="13" t="n">
        <f aca="false">IF(ISBLANK(Actuals!AF24),-Helpers!AC4*Assumptions!$B$22,Actuals!AF24)</f>
        <v>-16172.02962</v>
      </c>
      <c r="AF206" s="13" t="n">
        <f aca="false">IF(ISBLANK(Actuals!AG24),-Helpers!AD4*Assumptions!$B$22,Actuals!AG24)</f>
        <v>-16172.02962</v>
      </c>
      <c r="AG206" s="13" t="n">
        <f aca="false">IF(ISBLANK(Actuals!AH24),-Helpers!AE4*Assumptions!$B$22,Actuals!AH24)</f>
        <v>-16172.02962</v>
      </c>
      <c r="AH206" s="13" t="n">
        <f aca="false">IF(ISBLANK(Actuals!AI24),-Helpers!AF4*Assumptions!$B$22,Actuals!AI24)</f>
        <v>-16172.02962</v>
      </c>
      <c r="AI206" s="13" t="n">
        <f aca="false">IF(ISBLANK(Actuals!AJ24),-Helpers!AG4*Assumptions!$B$22,Actuals!AJ24)</f>
        <v>-16172.02962</v>
      </c>
      <c r="AJ206" s="13" t="n">
        <f aca="false">IF(ISBLANK(Actuals!AK24),-Helpers!AH4*Assumptions!$B$22,Actuals!AK24)</f>
        <v>-16172.02962</v>
      </c>
      <c r="AK206" s="13" t="n">
        <f aca="false">IF(ISBLANK(Actuals!AL24),-Helpers!AI4*Assumptions!$B$22,Actuals!AL24)</f>
        <v>-16172.02962</v>
      </c>
      <c r="AL206" s="13" t="n">
        <f aca="false">IF(ISBLANK(Actuals!AM24),-Helpers!AJ4*Assumptions!$B$22,Actuals!AM24)</f>
        <v>-16172.02962</v>
      </c>
      <c r="AM206" s="13" t="n">
        <f aca="false">IF(ISBLANK(Actuals!AN24),-Helpers!AK4*Assumptions!$B$22,Actuals!AN24)</f>
        <v>-16172.02962</v>
      </c>
      <c r="AN206" s="13" t="n">
        <f aca="false">IF(ISBLANK(Actuals!AO24),-Helpers!AL4*Assumptions!$B$22,Actuals!AO24)</f>
        <v>-16172.02962</v>
      </c>
      <c r="AO206" s="13" t="n">
        <f aca="false">IF(ISBLANK(Actuals!AP24),-Helpers!AM4*Assumptions!$B$22,Actuals!AP24)</f>
        <v>-16495.4702124</v>
      </c>
      <c r="AP206" s="13" t="n">
        <f aca="false">IF(ISBLANK(Actuals!AQ24),-Helpers!AN4*Assumptions!$B$22,Actuals!AQ24)</f>
        <v>-16495.4702124</v>
      </c>
      <c r="AQ206" s="13" t="n">
        <f aca="false">IF(ISBLANK(Actuals!AR24),-Helpers!AO4*Assumptions!$B$22,Actuals!AR24)</f>
        <v>-16495.4702124</v>
      </c>
      <c r="AR206" s="13" t="n">
        <f aca="false">IF(ISBLANK(Actuals!AS24),-Helpers!AP4*Assumptions!$B$22,Actuals!AS24)</f>
        <v>-16495.4702124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-8245.9724</v>
      </c>
      <c r="R207" s="13" t="n">
        <f aca="false">IF(ISBLANK(Actuals!S25),-Helpers!P4*Assumptions!$B$23,Actuals!S25)</f>
        <v>-8245.9724</v>
      </c>
      <c r="S207" s="13" t="n">
        <f aca="false">IF(ISBLANK(Actuals!T25),-Helpers!Q4*Assumptions!$B$23,Actuals!T25)</f>
        <v>-8245.9724</v>
      </c>
      <c r="T207" s="13" t="n">
        <f aca="false">IF(ISBLANK(Actuals!U25),-Helpers!R4*Assumptions!$B$23,Actuals!U25)</f>
        <v>-8245.9724</v>
      </c>
      <c r="U207" s="13" t="n">
        <f aca="false">IF(ISBLANK(Actuals!V25),-Helpers!S4*Assumptions!$B$23,Actuals!V25)</f>
        <v>-8245.9724</v>
      </c>
      <c r="V207" s="13" t="n">
        <f aca="false">IF(ISBLANK(Actuals!W25),-Helpers!T4*Assumptions!$B$23,Actuals!W25)</f>
        <v>-7939.9724</v>
      </c>
      <c r="W207" s="13" t="n">
        <f aca="false">IF(ISBLANK(Actuals!X25),-Helpers!U4*Assumptions!$B$23,Actuals!X25)</f>
        <v>-7939.9724</v>
      </c>
      <c r="X207" s="13" t="n">
        <f aca="false">IF(ISBLANK(Actuals!Y25),-Helpers!V4*Assumptions!$B$23,Actuals!Y25)</f>
        <v>-7939.9724</v>
      </c>
      <c r="Y207" s="13" t="n">
        <f aca="false">IF(ISBLANK(Actuals!Z25),-Helpers!W4*Assumptions!$B$23,Actuals!Z25)</f>
        <v>-7803.9724</v>
      </c>
      <c r="Z207" s="13" t="n">
        <f aca="false">IF(ISBLANK(Actuals!AA25),-Helpers!X4*Assumptions!$B$23,Actuals!AA25)</f>
        <v>-7098.4724</v>
      </c>
      <c r="AA207" s="13" t="n">
        <f aca="false">IF(ISBLANK(Actuals!AB25),-Helpers!Y4*Assumptions!$B$23,Actuals!AB25)</f>
        <v>-7098.4724</v>
      </c>
      <c r="AB207" s="13" t="n">
        <f aca="false">IF(ISBLANK(Actuals!AC25),-Helpers!Z4*Assumptions!$B$23,Actuals!AC25)</f>
        <v>-6826.4724</v>
      </c>
      <c r="AC207" s="13" t="n">
        <f aca="false">IF(ISBLANK(Actuals!AD25),-Helpers!AA4*Assumptions!$B$23,Actuals!AD25)</f>
        <v>-6468.811848</v>
      </c>
      <c r="AD207" s="13" t="n">
        <f aca="false">IF(ISBLANK(Actuals!AE25),-Helpers!AB4*Assumptions!$B$23,Actuals!AE25)</f>
        <v>-6468.811848</v>
      </c>
      <c r="AE207" s="13" t="n">
        <f aca="false">IF(ISBLANK(Actuals!AF25),-Helpers!AC4*Assumptions!$B$23,Actuals!AF25)</f>
        <v>-6468.811848</v>
      </c>
      <c r="AF207" s="13" t="n">
        <f aca="false">IF(ISBLANK(Actuals!AG25),-Helpers!AD4*Assumptions!$B$23,Actuals!AG25)</f>
        <v>-6468.811848</v>
      </c>
      <c r="AG207" s="13" t="n">
        <f aca="false">IF(ISBLANK(Actuals!AH25),-Helpers!AE4*Assumptions!$B$23,Actuals!AH25)</f>
        <v>-6468.811848</v>
      </c>
      <c r="AH207" s="13" t="n">
        <f aca="false">IF(ISBLANK(Actuals!AI25),-Helpers!AF4*Assumptions!$B$23,Actuals!AI25)</f>
        <v>-6468.811848</v>
      </c>
      <c r="AI207" s="13" t="n">
        <f aca="false">IF(ISBLANK(Actuals!AJ25),-Helpers!AG4*Assumptions!$B$23,Actuals!AJ25)</f>
        <v>-6468.811848</v>
      </c>
      <c r="AJ207" s="13" t="n">
        <f aca="false">IF(ISBLANK(Actuals!AK25),-Helpers!AH4*Assumptions!$B$23,Actuals!AK25)</f>
        <v>-6468.811848</v>
      </c>
      <c r="AK207" s="13" t="n">
        <f aca="false">IF(ISBLANK(Actuals!AL25),-Helpers!AI4*Assumptions!$B$23,Actuals!AL25)</f>
        <v>-6468.811848</v>
      </c>
      <c r="AL207" s="13" t="n">
        <f aca="false">IF(ISBLANK(Actuals!AM25),-Helpers!AJ4*Assumptions!$B$23,Actuals!AM25)</f>
        <v>-6468.811848</v>
      </c>
      <c r="AM207" s="13" t="n">
        <f aca="false">IF(ISBLANK(Actuals!AN25),-Helpers!AK4*Assumptions!$B$23,Actuals!AN25)</f>
        <v>-6468.811848</v>
      </c>
      <c r="AN207" s="13" t="n">
        <f aca="false">IF(ISBLANK(Actuals!AO25),-Helpers!AL4*Assumptions!$B$23,Actuals!AO25)</f>
        <v>-6468.811848</v>
      </c>
      <c r="AO207" s="13" t="n">
        <f aca="false">IF(ISBLANK(Actuals!AP25),-Helpers!AM4*Assumptions!$B$23,Actuals!AP25)</f>
        <v>-6598.18808496</v>
      </c>
      <c r="AP207" s="13" t="n">
        <f aca="false">IF(ISBLANK(Actuals!AQ25),-Helpers!AN4*Assumptions!$B$23,Actuals!AQ25)</f>
        <v>-6598.18808496</v>
      </c>
      <c r="AQ207" s="13" t="n">
        <f aca="false">IF(ISBLANK(Actuals!AR25),-Helpers!AO4*Assumptions!$B$23,Actuals!AR25)</f>
        <v>-6598.18808496</v>
      </c>
      <c r="AR207" s="13" t="n">
        <f aca="false">IF(ISBLANK(Actuals!AS25),-Helpers!AP4*Assumptions!$B$23,Actuals!AS25)</f>
        <v>-6598.18808496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-2061.4931</v>
      </c>
      <c r="R208" s="13" t="n">
        <f aca="false">IF(ISBLANK(Actuals!S26),-Helpers!P4*Assumptions!$B$21,Actuals!S26)</f>
        <v>-2061.4931</v>
      </c>
      <c r="S208" s="13" t="n">
        <f aca="false">IF(ISBLANK(Actuals!T26),-Helpers!Q4*Assumptions!$B$21,Actuals!T26)</f>
        <v>-2061.4931</v>
      </c>
      <c r="T208" s="13" t="n">
        <f aca="false">IF(ISBLANK(Actuals!U26),-Helpers!R4*Assumptions!$B$21,Actuals!U26)</f>
        <v>-2061.4931</v>
      </c>
      <c r="U208" s="13" t="n">
        <f aca="false">IF(ISBLANK(Actuals!V26),-Helpers!S4*Assumptions!$B$21,Actuals!V26)</f>
        <v>-2061.4931</v>
      </c>
      <c r="V208" s="13" t="n">
        <f aca="false">IF(ISBLANK(Actuals!W26),-Helpers!T4*Assumptions!$B$21,Actuals!W26)</f>
        <v>-1984.9931</v>
      </c>
      <c r="W208" s="13" t="n">
        <f aca="false">IF(ISBLANK(Actuals!X26),-Helpers!U4*Assumptions!$B$21,Actuals!X26)</f>
        <v>-1984.9931</v>
      </c>
      <c r="X208" s="13" t="n">
        <f aca="false">IF(ISBLANK(Actuals!Y26),-Helpers!V4*Assumptions!$B$21,Actuals!Y26)</f>
        <v>-1984.9931</v>
      </c>
      <c r="Y208" s="13" t="n">
        <f aca="false">IF(ISBLANK(Actuals!Z26),-Helpers!W4*Assumptions!$B$21,Actuals!Z26)</f>
        <v>-1950.9931</v>
      </c>
      <c r="Z208" s="13" t="n">
        <f aca="false">IF(ISBLANK(Actuals!AA26),-Helpers!X4*Assumptions!$B$21,Actuals!AA26)</f>
        <v>-1774.6181</v>
      </c>
      <c r="AA208" s="13" t="n">
        <f aca="false">IF(ISBLANK(Actuals!AB26),-Helpers!Y4*Assumptions!$B$21,Actuals!AB26)</f>
        <v>-1774.6181</v>
      </c>
      <c r="AB208" s="13" t="n">
        <f aca="false">IF(ISBLANK(Actuals!AC26),-Helpers!Z4*Assumptions!$B$21,Actuals!AC26)</f>
        <v>-1706.6181</v>
      </c>
      <c r="AC208" s="13" t="n">
        <f aca="false">IF(ISBLANK(Actuals!AD26),-Helpers!AA4*Assumptions!$B$21,Actuals!AD26)</f>
        <v>-1617.202962</v>
      </c>
      <c r="AD208" s="13" t="n">
        <f aca="false">IF(ISBLANK(Actuals!AE26),-Helpers!AB4*Assumptions!$B$21,Actuals!AE26)</f>
        <v>-1617.202962</v>
      </c>
      <c r="AE208" s="13" t="n">
        <f aca="false">IF(ISBLANK(Actuals!AF26),-Helpers!AC4*Assumptions!$B$21,Actuals!AF26)</f>
        <v>-1617.202962</v>
      </c>
      <c r="AF208" s="13" t="n">
        <f aca="false">IF(ISBLANK(Actuals!AG26),-Helpers!AD4*Assumptions!$B$21,Actuals!AG26)</f>
        <v>-1617.202962</v>
      </c>
      <c r="AG208" s="13" t="n">
        <f aca="false">IF(ISBLANK(Actuals!AH26),-Helpers!AE4*Assumptions!$B$21,Actuals!AH26)</f>
        <v>-1617.202962</v>
      </c>
      <c r="AH208" s="13" t="n">
        <f aca="false">IF(ISBLANK(Actuals!AI26),-Helpers!AF4*Assumptions!$B$21,Actuals!AI26)</f>
        <v>-1617.202962</v>
      </c>
      <c r="AI208" s="13" t="n">
        <f aca="false">IF(ISBLANK(Actuals!AJ26),-Helpers!AG4*Assumptions!$B$21,Actuals!AJ26)</f>
        <v>-1617.202962</v>
      </c>
      <c r="AJ208" s="13" t="n">
        <f aca="false">IF(ISBLANK(Actuals!AK26),-Helpers!AH4*Assumptions!$B$21,Actuals!AK26)</f>
        <v>-1617.202962</v>
      </c>
      <c r="AK208" s="13" t="n">
        <f aca="false">IF(ISBLANK(Actuals!AL26),-Helpers!AI4*Assumptions!$B$21,Actuals!AL26)</f>
        <v>-1617.202962</v>
      </c>
      <c r="AL208" s="13" t="n">
        <f aca="false">IF(ISBLANK(Actuals!AM26),-Helpers!AJ4*Assumptions!$B$21,Actuals!AM26)</f>
        <v>-1617.202962</v>
      </c>
      <c r="AM208" s="13" t="n">
        <f aca="false">IF(ISBLANK(Actuals!AN26),-Helpers!AK4*Assumptions!$B$21,Actuals!AN26)</f>
        <v>-1617.202962</v>
      </c>
      <c r="AN208" s="13" t="n">
        <f aca="false">IF(ISBLANK(Actuals!AO26),-Helpers!AL4*Assumptions!$B$21,Actuals!AO26)</f>
        <v>-1617.202962</v>
      </c>
      <c r="AO208" s="13" t="n">
        <f aca="false">IF(ISBLANK(Actuals!AP26),-Helpers!AM4*Assumptions!$B$21,Actuals!AP26)</f>
        <v>-1649.54702124</v>
      </c>
      <c r="AP208" s="13" t="n">
        <f aca="false">IF(ISBLANK(Actuals!AQ26),-Helpers!AN4*Assumptions!$B$21,Actuals!AQ26)</f>
        <v>-1649.54702124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-0</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-13846.1538461538</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-6153.84615384615</v>
      </c>
      <c r="Z223" s="13" t="n">
        <f aca="false">IF(ISBLANK(Actuals!AA41),-(SUMPRODUCT((Personnel!$O$9:$O$100="GC")*(Personnel!$G$9:$G$100="Yes")*(Personnel!$E$9:$E$100&gt;=2)*(Personnel!$Q$9:$Q$100&lt;&gt;"No")*(Personnel!$E$9:$E$100=22)*Personnel!$C$9:$C$100)*Staffing!$B$21+Staffing!Z84),Actuals!AA41)</f>
        <v>-31923.0769230769</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-12307.6923076923</v>
      </c>
      <c r="AC223" s="13" t="n">
        <f aca="false">IF(ISBLANK(Actuals!AD41),-(SUMPRODUCT((Personnel!$O$9:$O$100="GC")*(Personnel!$G$9:$G$100="Yes")*(Personnel!$E$9:$E$100&gt;=2)*(Personnel!$Q$9:$Q$100&lt;&gt;"No")*(Personnel!$E$9:$E$100=25)*Personnel!$C$9:$C$100)*Staffing!$B$21+Staffing!AC84),Actuals!AD41)</f>
        <v>-21923.0769230769</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-497225.8787</v>
      </c>
      <c r="R236" s="30" t="n">
        <f aca="false">SUM(R202:R235)+Actuals!S54</f>
        <v>-497225.8787</v>
      </c>
      <c r="S236" s="30" t="n">
        <f aca="false">SUM(S202:S235)+Actuals!T54</f>
        <v>-497225.8787</v>
      </c>
      <c r="T236" s="30" t="n">
        <f aca="false">SUM(T202:T235)+Actuals!U54</f>
        <v>-497225.8787</v>
      </c>
      <c r="U236" s="30" t="n">
        <f aca="false">SUM(U202:U235)+Actuals!V54</f>
        <v>-497225.8787</v>
      </c>
      <c r="V236" s="30" t="n">
        <f aca="false">SUM(V202:V235)+Actuals!W54</f>
        <v>-493553.532546154</v>
      </c>
      <c r="W236" s="30" t="n">
        <f aca="false">SUM(W202:W235)+Actuals!X54</f>
        <v>-479707.3787</v>
      </c>
      <c r="X236" s="30" t="n">
        <f aca="false">SUM(X202:X235)+Actuals!Y54</f>
        <v>-479707.3787</v>
      </c>
      <c r="Y236" s="30" t="n">
        <f aca="false">SUM(Y202:Y235)+Actuals!Z54</f>
        <v>-478075.224853846</v>
      </c>
      <c r="Z236" s="30" t="n">
        <f aca="false">SUM(Z202:Z235)+Actuals!AA54</f>
        <v>-463454.580623077</v>
      </c>
      <c r="AA236" s="30" t="n">
        <f aca="false">SUM(AA202:AA235)+Actuals!AB54</f>
        <v>-431531.5037</v>
      </c>
      <c r="AB236" s="30" t="n">
        <f aca="false">SUM(AB202:AB235)+Actuals!AC54</f>
        <v>-428267.196007692</v>
      </c>
      <c r="AC236" s="30" t="n">
        <f aca="false">SUM(AC202:AC235)+Actuals!AD54</f>
        <v>-417909.393197077</v>
      </c>
      <c r="AD236" s="30" t="n">
        <f aca="false">SUM(AD202:AD235)+Actuals!AE54</f>
        <v>-395986.316274</v>
      </c>
      <c r="AE236" s="30" t="n">
        <f aca="false">SUM(AE202:AE235)+Actuals!AF54</f>
        <v>-395986.316274</v>
      </c>
      <c r="AF236" s="30" t="n">
        <f aca="false">SUM(AF202:AF235)+Actuals!AG54</f>
        <v>-395986.316274</v>
      </c>
      <c r="AG236" s="30" t="n">
        <f aca="false">SUM(AG202:AG235)+Actuals!AH54</f>
        <v>-395986.316274</v>
      </c>
      <c r="AH236" s="30" t="n">
        <f aca="false">SUM(AH202:AH235)+Actuals!AI54</f>
        <v>-395986.316274</v>
      </c>
      <c r="AI236" s="30" t="n">
        <f aca="false">SUM(AI202:AI235)+Actuals!AJ54</f>
        <v>-395986.316274</v>
      </c>
      <c r="AJ236" s="30" t="n">
        <f aca="false">SUM(AJ202:AJ235)+Actuals!AK54</f>
        <v>-395986.316274</v>
      </c>
      <c r="AK236" s="30" t="n">
        <f aca="false">SUM(AK202:AK235)+Actuals!AL54</f>
        <v>-395986.316274</v>
      </c>
      <c r="AL236" s="30" t="n">
        <f aca="false">SUM(AL202:AL235)+Actuals!AM54</f>
        <v>-395986.316274</v>
      </c>
      <c r="AM236" s="30" t="n">
        <f aca="false">SUM(AM202:AM235)+Actuals!AN54</f>
        <v>-395986.316274</v>
      </c>
      <c r="AN236" s="30" t="n">
        <f aca="false">SUM(AN202:AN235)+Actuals!AO54</f>
        <v>-395986.316274</v>
      </c>
      <c r="AO236" s="30" t="n">
        <f aca="false">SUM(AO202:AO235)+Actuals!AP54</f>
        <v>-403906.04259948</v>
      </c>
      <c r="AP236" s="30" t="n">
        <f aca="false">SUM(AP202:AP235)+Actuals!AQ54</f>
        <v>-403906.04259948</v>
      </c>
      <c r="AQ236" s="30" t="n">
        <f aca="false">SUM(AQ202:AQ235)+Actuals!AR54</f>
        <v>-403906.04259948</v>
      </c>
      <c r="AR236" s="30" t="n">
        <f aca="false">SUM(AR202:AR235)+Actuals!AS54</f>
        <v>-403906.04259948</v>
      </c>
      <c r="AS236" s="30" t="n">
        <f aca="false">SUM(AS202:AS235)+Actuals!AT54</f>
        <v>-403906.04259948</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301830.579119715</v>
      </c>
      <c r="R237" s="37" t="n">
        <f aca="false">R199+R236</f>
        <v>245912.539119715</v>
      </c>
      <c r="S237" s="37" t="n">
        <f aca="false">S199+S236</f>
        <v>231693.479119715</v>
      </c>
      <c r="T237" s="37" t="n">
        <f aca="false">T199+T236</f>
        <v>308671.759119715</v>
      </c>
      <c r="U237" s="37" t="n">
        <f aca="false">U199+U236</f>
        <v>202942.469119716</v>
      </c>
      <c r="V237" s="37" t="n">
        <f aca="false">V199+V236</f>
        <v>285193.905273559</v>
      </c>
      <c r="W237" s="37" t="n">
        <f aca="false">W199+W236</f>
        <v>187353.759119716</v>
      </c>
      <c r="X237" s="37" t="n">
        <f aca="false">X199+X236</f>
        <v>361969.299119715</v>
      </c>
      <c r="Y237" s="37" t="n">
        <f aca="false">Y199+Y236</f>
        <v>201840.632965869</v>
      </c>
      <c r="Z237" s="37" t="n">
        <f aca="false">Z199+Z236</f>
        <v>342807.457196638</v>
      </c>
      <c r="AA237" s="37" t="n">
        <f aca="false">AA199+AA236</f>
        <v>403969.187480855</v>
      </c>
      <c r="AB237" s="37" t="n">
        <f aca="false">AB199+AB236</f>
        <v>220901.77307266</v>
      </c>
      <c r="AC237" s="37" t="n">
        <f aca="false">AC199+AC236</f>
        <v>2534.10663972085</v>
      </c>
      <c r="AD237" s="37" t="n">
        <f aca="false">AD199+AD236</f>
        <v>47407.0935627979</v>
      </c>
      <c r="AE237" s="37" t="n">
        <f aca="false">AE199+AE236</f>
        <v>38339.1035627977</v>
      </c>
      <c r="AF237" s="37" t="n">
        <f aca="false">AF199+AF236</f>
        <v>207958.91767751</v>
      </c>
      <c r="AG237" s="37" t="n">
        <f aca="false">AG199+AG236</f>
        <v>118056.005929035</v>
      </c>
      <c r="AH237" s="37" t="n">
        <f aca="false">AH199+AH236</f>
        <v>-18637.3170328645</v>
      </c>
      <c r="AI237" s="37" t="n">
        <f aca="false">AI199+AI236</f>
        <v>-24804.1870328646</v>
      </c>
      <c r="AJ237" s="37" t="n">
        <f aca="false">AJ199+AJ236</f>
        <v>-19433.0874651146</v>
      </c>
      <c r="AK237" s="37" t="n">
        <f aca="false">AK199+AK236</f>
        <v>-273767.506274</v>
      </c>
      <c r="AL237" s="37" t="n">
        <f aca="false">AL199+AL236</f>
        <v>-259457.436274</v>
      </c>
      <c r="AM237" s="37" t="n">
        <f aca="false">AM199+AM236</f>
        <v>-247575.656274</v>
      </c>
      <c r="AN237" s="37" t="n">
        <f aca="false">AN199+AN236</f>
        <v>-356057.706274</v>
      </c>
      <c r="AO237" s="37" t="n">
        <f aca="false">AO199+AO236</f>
        <v>-403906.04259948</v>
      </c>
      <c r="AP237" s="37" t="n">
        <f aca="false">AP199+AP236</f>
        <v>-403906.04259948</v>
      </c>
      <c r="AQ237" s="37" t="n">
        <f aca="false">AQ199+AQ236</f>
        <v>-403906.04259948</v>
      </c>
      <c r="AR237" s="37" t="n">
        <f aca="false">AR199+AR236</f>
        <v>-403906.04259948</v>
      </c>
      <c r="AS237" s="37" t="n">
        <f aca="false">AS199+AS236</f>
        <v>-403906.04259948</v>
      </c>
      <c r="AT237" s="37" t="n">
        <f aca="false">AT199+AT236</f>
        <v>-403906.04259948</v>
      </c>
      <c r="AU237" s="37" t="n">
        <f aca="false">AU199+AU236</f>
        <v>-403906.04259948</v>
      </c>
      <c r="AV237" s="37" t="n">
        <f aca="false">AV199+AV236</f>
        <v>-403906.04259948</v>
      </c>
      <c r="AW237" s="37" t="n">
        <f aca="false">AW199+AW236</f>
        <v>-403906.04259948</v>
      </c>
      <c r="AX237" s="37" t="n">
        <f aca="false">AX199+AX236</f>
        <v>-403906.04259948</v>
      </c>
      <c r="AY237" s="37" t="n">
        <f aca="false">AY199+AY236</f>
        <v>-403906.04259948</v>
      </c>
      <c r="AZ237" s="37" t="n">
        <f aca="false">AZ199+AZ236</f>
        <v>-403906.04259948</v>
      </c>
      <c r="BA237" s="37" t="n">
        <f aca="false">BA199+BA236</f>
        <v>-411984.16345147</v>
      </c>
      <c r="BB237" s="37" t="n">
        <f aca="false">BB199+BB236</f>
        <v>-411984.16345147</v>
      </c>
      <c r="BC237" s="37" t="n">
        <f aca="false">BC199+BC236</f>
        <v>-411984.16345147</v>
      </c>
      <c r="BD237" s="37" t="n">
        <f aca="false">BD199+BD236</f>
        <v>-411984.16345147</v>
      </c>
      <c r="BE237" s="37" t="n">
        <f aca="false">BE199+BE236</f>
        <v>-411984.16345147</v>
      </c>
      <c r="BF237" s="37" t="n">
        <f aca="false">BF199+BF236</f>
        <v>-411984.16345147</v>
      </c>
      <c r="BG237" s="37" t="n">
        <f aca="false">BG199+BG236</f>
        <v>-411984.16345147</v>
      </c>
      <c r="BH237" s="37" t="n">
        <f aca="false">BH199+BH236</f>
        <v>-411984.16345147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0.0419937435780623</v>
      </c>
      <c r="R238" s="33" t="n">
        <f aca="false">IFERROR(R237/R58,0)</f>
        <v>0.0345244262094009</v>
      </c>
      <c r="S238" s="33" t="n">
        <f aca="false">IFERROR(S237/S58,0)</f>
        <v>0.0311024342803293</v>
      </c>
      <c r="T238" s="33" t="n">
        <f aca="false">IFERROR(T237/T58,0)</f>
        <v>0.0363737786564874</v>
      </c>
      <c r="U238" s="33" t="n">
        <f aca="false">IFERROR(U237/U58,0)</f>
        <v>0.0262145431177557</v>
      </c>
      <c r="V238" s="33" t="n">
        <f aca="false">IFERROR(V237/V58,0)</f>
        <v>0.0344885315367567</v>
      </c>
      <c r="W238" s="33" t="n">
        <f aca="false">IFERROR(W237/W58,0)</f>
        <v>0.0277208151720685</v>
      </c>
      <c r="X238" s="33" t="n">
        <f aca="false">IFERROR(X237/X58,0)</f>
        <v>0.0453017723164366</v>
      </c>
      <c r="Y238" s="33" t="n">
        <f aca="false">IFERROR(Y237/Y58,0)</f>
        <v>0.0314155341588496</v>
      </c>
      <c r="Z238" s="33" t="n">
        <f aca="false">IFERROR(Z237/Z58,0)</f>
        <v>0.0481321891676981</v>
      </c>
      <c r="AA238" s="33" t="n">
        <f aca="false">IFERROR(AA237/AA58,0)</f>
        <v>0.0642897206501952</v>
      </c>
      <c r="AB238" s="33" t="n">
        <f aca="false">IFERROR(AB237/AB58,0)</f>
        <v>0.0457382352420877</v>
      </c>
      <c r="AC238" s="33" t="n">
        <f aca="false">IFERROR(AC237/AC58,0)</f>
        <v>0.000700479074782525</v>
      </c>
      <c r="AD238" s="33" t="n">
        <f aca="false">IFERROR(AD237/AD58,0)</f>
        <v>0.0135359653192885</v>
      </c>
      <c r="AE238" s="33" t="n">
        <f aca="false">IFERROR(AE237/AE58,0)</f>
        <v>0.0122747287201275</v>
      </c>
      <c r="AF238" s="33" t="n">
        <f aca="false">IFERROR(AF237/AF58,0)</f>
        <v>0.0672732203630117</v>
      </c>
      <c r="AG238" s="33" t="n">
        <f aca="false">IFERROR(AG237/AG58,0)</f>
        <v>0.0351665677845949</v>
      </c>
      <c r="AH238" s="33" t="n">
        <f aca="false">IFERROR(AH237/AH58,0)</f>
        <v>-0.00656536637478759</v>
      </c>
      <c r="AI238" s="33" t="n">
        <f aca="false">IFERROR(AI237/AI58,0)</f>
        <v>-0.00918180243975237</v>
      </c>
      <c r="AJ238" s="33" t="n">
        <f aca="false">IFERROR(AJ237/AJ58,0)</f>
        <v>-0.0119413133255932</v>
      </c>
      <c r="AK238" s="33" t="n">
        <f aca="false">IFERROR(AK237/AK58,0)</f>
        <v>-0.27677043504954</v>
      </c>
      <c r="AL238" s="33" t="n">
        <f aca="false">IFERROR(AL237/AL58,0)</f>
        <v>-0.234810464311466</v>
      </c>
      <c r="AM238" s="33" t="n">
        <f aca="false">IFERROR(AM237/AM58,0)</f>
        <v>-0.206119315350502</v>
      </c>
      <c r="AN238" s="33" t="n">
        <f aca="false">IFERROR(AN237/AN58,0)</f>
        <v>-1.10182365049406</v>
      </c>
      <c r="AO238" s="33" t="n">
        <f aca="false">IFERROR(AO237/AO58,0)</f>
        <v>0</v>
      </c>
      <c r="AP238" s="33" t="n">
        <f aca="false">IFERROR(AP237/AP58,0)</f>
        <v>0</v>
      </c>
      <c r="AQ238" s="33" t="n">
        <f aca="false">IFERROR(AQ237/AQ58,0)</f>
        <v>0</v>
      </c>
      <c r="AR238" s="33" t="n">
        <f aca="false">IFERROR(AR237/AR58,0)</f>
        <v>0</v>
      </c>
      <c r="AS238" s="33" t="n">
        <f aca="false">IFERROR(AS237/AS58,0)</f>
        <v>0</v>
      </c>
      <c r="AT238" s="33" t="n">
        <f aca="false">IFERROR(AT237/AT58,0)</f>
        <v>0</v>
      </c>
      <c r="AU238" s="33" t="n">
        <f aca="false">IFERROR(AU237/AU58,0)</f>
        <v>0</v>
      </c>
      <c r="AV238" s="33" t="n">
        <f aca="false">IFERROR(AV237/AV58,0)</f>
        <v>0</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0</v>
      </c>
      <c r="BD255" s="13" t="n">
        <f aca="false">IF(ISBLANK(Actuals!BE78),0,Actuals!BE78)</f>
        <v>0</v>
      </c>
      <c r="BE255" s="13" t="n">
        <f aca="false">IF(ISBLANK(Actuals!BF78),0,Actuals!BF78)</f>
        <v>0</v>
      </c>
      <c r="BF255" s="13" t="n">
        <f aca="false">IF(ISBLANK(Actuals!BG78),IF(Projects!$G$13="Yes",71700,0),Actuals!BG78)</f>
        <v>0</v>
      </c>
      <c r="BG255" s="13" t="n">
        <f aca="false">IF(ISBLANK(Actuals!BH78),0,Actuals!BH78)</f>
        <v>0</v>
      </c>
      <c r="BH255" s="13" t="n">
        <f aca="false">IF(ISBLANK(Actuals!BI78),0,Actuals!BI78)</f>
        <v>0</v>
      </c>
      <c r="BI255" s="13" t="n">
        <f aca="false">IF(ISBLANK(Actuals!BJ78),IF(Projects!$G$13="Yes",71700,0),Actuals!BJ78)</f>
        <v>0</v>
      </c>
      <c r="BJ255" s="13" t="n">
        <f aca="false">IF(ISBLANK(Actuals!BK78),0,Actuals!BK78)</f>
        <v>0</v>
      </c>
      <c r="BK255" s="13" t="n">
        <f aca="false">IF(ISBLANK(Actuals!BL78),0,Actuals!BL78)</f>
        <v>0</v>
      </c>
      <c r="BL255" s="13" t="n">
        <f aca="false">IF(ISBLANK(Actuals!BM78),IF(Projects!$G$13="Yes",71700,0),Actuals!BM78)</f>
        <v>0</v>
      </c>
      <c r="BM255" s="13" t="n">
        <f aca="false">IF(ISBLANK(Actuals!BN78),0,Actuals!BN78)</f>
        <v>0</v>
      </c>
      <c r="BN255" s="13" t="n">
        <f aca="false">IF(ISBLANK(Actuals!BO78),0,Actuals!BO78)</f>
        <v>0</v>
      </c>
      <c r="BO255" s="13" t="n">
        <f aca="false">IF(ISBLANK(Actuals!BP78),IF(Projects!$G$13="Yes",71700,0),Actuals!BP78)</f>
        <v>0</v>
      </c>
      <c r="BP255" s="13" t="n">
        <f aca="false">IF(ISBLANK(Actuals!BQ78),0,Actuals!BQ78)</f>
        <v>0</v>
      </c>
      <c r="BQ255" s="13" t="n">
        <f aca="false">IF(ISBLANK(Actuals!BR78),0,Actuals!BR78)</f>
        <v>0</v>
      </c>
      <c r="BR255" s="13" t="n">
        <f aca="false">IF(ISBLANK(Actuals!BS78),IF(Projects!$G$13="Yes",74643,0),Actuals!BS78)</f>
        <v>0</v>
      </c>
      <c r="BS255" s="13" t="n">
        <f aca="false">IF(ISBLANK(Actuals!BT78),0,Actuals!BT78)</f>
        <v>0</v>
      </c>
      <c r="BT255" s="13" t="n">
        <f aca="false">IF(ISBLANK(Actuals!BU78),0,Actuals!BU78)</f>
        <v>0</v>
      </c>
      <c r="BU255" s="13" t="n">
        <f aca="false">IF(ISBLANK(Actuals!BV78),IF(Projects!$G$13="Yes",74640,0),Actuals!BV78)</f>
        <v>0</v>
      </c>
      <c r="BV255" s="13" t="n">
        <f aca="false">IF(ISBLANK(Actuals!BW78),0,Actuals!BW78)</f>
        <v>0</v>
      </c>
      <c r="BW255" s="13" t="n">
        <f aca="false">IF(ISBLANK(Actuals!BX78),0,Actuals!BX78)</f>
        <v>0</v>
      </c>
      <c r="BX255" s="13" t="n">
        <f aca="false">IF(ISBLANK(Actuals!BY78),IF(Projects!$G$13="Yes",74640,0),Actuals!BY78)</f>
        <v>0</v>
      </c>
      <c r="BY255" s="13" t="n">
        <f aca="false">IF(ISBLANK(Actuals!BZ78),0,Actuals!BZ78)</f>
        <v>0</v>
      </c>
      <c r="BZ255" s="13" t="n">
        <f aca="false">IF(ISBLANK(Actuals!CA78),0,Actuals!CA78)</f>
        <v>0</v>
      </c>
      <c r="CA255" s="13" t="n">
        <f aca="false">IF(ISBLANK(Actuals!CB78),IF(Projects!$G$13="Yes",74640,0),Actuals!CB78)</f>
        <v>0</v>
      </c>
      <c r="CB255" s="13" t="n">
        <f aca="false">IF(ISBLANK(Actuals!CC78),0,Actuals!CC78)</f>
        <v>0</v>
      </c>
      <c r="CC255" s="13" t="n">
        <f aca="false">IF(ISBLANK(Actuals!CD78),0,Actuals!CD78)</f>
        <v>0</v>
      </c>
      <c r="CD255" s="13" t="n">
        <f aca="false">IF(ISBLANK(Actuals!CE78),IF(Projects!$G$13="Yes",81363,0),Actuals!CE78)</f>
        <v>0</v>
      </c>
      <c r="CE255" s="13" t="n">
        <f aca="false">IF(ISBLANK(Actuals!CF78),0,Actuals!CF78)</f>
        <v>0</v>
      </c>
      <c r="CF255" s="13" t="n">
        <f aca="false">IF(ISBLANK(Actuals!CG78),0,Actuals!CG78)</f>
        <v>0</v>
      </c>
      <c r="CG255" s="13" t="n">
        <f aca="false">IF(ISBLANK(Actuals!CH78),IF(Projects!$G$13="Yes",81362,0),Actuals!CH78)</f>
        <v>0</v>
      </c>
      <c r="CH255" s="13" t="n">
        <f aca="false">IF(ISBLANK(Actuals!CI78),0,Actuals!CI78)</f>
        <v>0</v>
      </c>
      <c r="CI255" s="13" t="n">
        <f aca="false">IF(ISBLANK(Actuals!CJ78),0,Actuals!CJ78)</f>
        <v>0</v>
      </c>
      <c r="CJ255" s="13" t="n">
        <f aca="false">IF(ISBLANK(Actuals!CK78),IF(Projects!$G$13="Yes",81362,0),Actuals!CK78)</f>
        <v>0</v>
      </c>
      <c r="CK255" s="13" t="n">
        <f aca="false">IF(ISBLANK(Actuals!CL78),IF(Projects!$G$13="Yes",81362,0),Actuals!CL78)</f>
        <v>0</v>
      </c>
      <c r="CL255" s="13" t="n">
        <f aca="false">IF(ISBLANK(Actuals!CM78),IF(Projects!$G$13="Yes",81362,0),Actuals!CM78)</f>
        <v>0</v>
      </c>
      <c r="CM255" s="13" t="n">
        <f aca="false">IF(ISBLANK(Actuals!CN78),IF(Projects!$G$13="Yes",81362,0),Actuals!CN78)</f>
        <v>0</v>
      </c>
      <c r="CN255" s="13" t="n">
        <f aca="false">IF(ISBLANK(Actuals!CO78),IF(Projects!$G$13="Yes",81362,0),Actuals!CO78)</f>
        <v>0</v>
      </c>
      <c r="CO255" s="13" t="n">
        <f aca="false">IF(ISBLANK(Actuals!CP78),IF(Projects!$G$13="Yes",81362,0),Actuals!CP78)</f>
        <v>0</v>
      </c>
      <c r="CP255" s="13" t="n">
        <f aca="false">IF(ISBLANK(Actuals!CQ78),IF(Projects!$G$13="Yes",81362,0),Actuals!CQ78)</f>
        <v>0</v>
      </c>
      <c r="CQ255" s="13" t="n">
        <f aca="false">IF(ISBLANK(Actuals!CR78),IF(Projects!$G$13="Yes",81362,0),Actuals!CR78)</f>
        <v>0</v>
      </c>
      <c r="CR255" s="13" t="n">
        <f aca="false">IF(ISBLANK(Actuals!CS78),IF(Projects!$G$13="Yes",81362,0),Actuals!CS78)</f>
        <v>0</v>
      </c>
      <c r="CS255" s="13" t="n">
        <f aca="false">IF(ISBLANK(Actuals!CT78),IF(Projects!$G$13="Yes",81362,0),Actuals!CT78)</f>
        <v>0</v>
      </c>
      <c r="CT255" s="13" t="n">
        <f aca="false">IF(ISBLANK(Actuals!CU78),IF(Projects!$G$13="Yes",81362,0),Actuals!CU78)</f>
        <v>0</v>
      </c>
      <c r="CU255" s="13" t="n">
        <f aca="false">IF(ISBLANK(Actuals!CV78),IF(Projects!$G$13="Yes",81362,0),Actuals!CV78)</f>
        <v>0</v>
      </c>
      <c r="CV255" s="13" t="n">
        <f aca="false">IF(ISBLANK(Actuals!CW78),IF(Projects!$G$13="Yes",81362,0),Actuals!CW78)</f>
        <v>0</v>
      </c>
      <c r="CW255" s="13" t="n">
        <f aca="false">IF(ISBLANK(Actuals!CX78),IF(Projects!$G$13="Yes",81362,0),Actuals!CX78)</f>
        <v>0</v>
      </c>
      <c r="CX255" s="13" t="n">
        <f aca="false">IF(ISBLANK(Actuals!CY78),IF(Projects!$G$13="Yes",81362,0),Actuals!CY78)</f>
        <v>0</v>
      </c>
      <c r="CY255" s="13" t="n">
        <f aca="false">IF(ISBLANK(Actuals!CZ78),IF(Projects!$G$13="Yes",81362,0),Actuals!CZ78)</f>
        <v>0</v>
      </c>
      <c r="CZ255" s="13" t="n">
        <f aca="false">IF(ISBLANK(Actuals!DA78),IF(Projects!$G$13="Yes",81362,0),Actuals!DA78)</f>
        <v>0</v>
      </c>
      <c r="DA255" s="13" t="n">
        <f aca="false">IF(ISBLANK(Actuals!DB78),IF(Projects!$G$13="Yes",81362,0),Actuals!DB78)</f>
        <v>0</v>
      </c>
      <c r="DB255" s="13" t="n">
        <f aca="false">IF(ISBLANK(Actuals!DC78),IF(Projects!$G$13="Yes",81362,0),Actuals!DC78)</f>
        <v>0</v>
      </c>
      <c r="DC255" s="13" t="n">
        <f aca="false">IF(ISBLANK(Actuals!DD78),IF(Projects!$G$13="Yes",81362,0),Actuals!DD78)</f>
        <v>0</v>
      </c>
      <c r="DD255" s="13" t="n">
        <f aca="false">IF(ISBLANK(Actuals!DE78),IF(Projects!$G$13="Yes",81362,0),Actuals!DE78)</f>
        <v>0</v>
      </c>
      <c r="DE255" s="13" t="n">
        <f aca="false">IF(ISBLANK(Actuals!DF78),IF(Projects!$G$13="Yes",81362,0),Actuals!DF78)</f>
        <v>0</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0</v>
      </c>
      <c r="R257" s="13" t="n">
        <f aca="false">IF(ISBLANK(Actuals!S80),IF(Uplifters!$B$2="Yes",Uplifters!P107,0),Actuals!S80)</f>
        <v>0</v>
      </c>
      <c r="S257" s="13" t="n">
        <f aca="false">IF(ISBLANK(Actuals!T80),IF(Uplifters!$B$2="Yes",Uplifters!Q107,0),Actuals!T80)</f>
        <v>0</v>
      </c>
      <c r="T257" s="13" t="n">
        <f aca="false">IF(ISBLANK(Actuals!U80),IF(Uplifters!$B$2="Yes",Uplifters!R107,0),Actuals!U80)</f>
        <v>0</v>
      </c>
      <c r="U257" s="13" t="n">
        <f aca="false">IF(ISBLANK(Actuals!V80),IF(Uplifters!$B$2="Yes",Uplifters!S107,0),Actuals!V80)</f>
        <v>0</v>
      </c>
      <c r="V257" s="13" t="n">
        <f aca="false">IF(ISBLANK(Actuals!W80),IF(Uplifters!$B$2="Yes",Uplifters!T107,0),Actuals!W80)</f>
        <v>0</v>
      </c>
      <c r="W257" s="13" t="n">
        <f aca="false">IF(ISBLANK(Actuals!X80),IF(Uplifters!$B$2="Yes",Uplifters!U107,0),Actuals!X80)</f>
        <v>0</v>
      </c>
      <c r="X257" s="13" t="n">
        <f aca="false">IF(ISBLANK(Actuals!Y80),IF(Uplifters!$B$2="Yes",Uplifters!V107,0),Actuals!Y80)</f>
        <v>0</v>
      </c>
      <c r="Y257" s="13" t="n">
        <f aca="false">IF(ISBLANK(Actuals!Z80),IF(Uplifters!$B$2="Yes",Uplifters!W107,0),Actuals!Z80)</f>
        <v>0</v>
      </c>
      <c r="Z257" s="13" t="n">
        <f aca="false">IF(ISBLANK(Actuals!AA80),IF(Uplifters!$B$2="Yes",Uplifters!X107,0),Actuals!AA80)</f>
        <v>0</v>
      </c>
      <c r="AA257" s="13" t="n">
        <f aca="false">IF(ISBLANK(Actuals!AB80),IF(Uplifters!$B$2="Yes",Uplifters!Y107,0),Actuals!AB80)</f>
        <v>0</v>
      </c>
      <c r="AB257" s="13" t="n">
        <f aca="false">IF(ISBLANK(Actuals!AC80),IF(Uplifters!$B$2="Yes",Uplifters!Z107,0),Actuals!AC80)</f>
        <v>0</v>
      </c>
      <c r="AC257" s="13" t="n">
        <f aca="false">IF(ISBLANK(Actuals!AD80),IF(Uplifters!$B$2="Yes",Uplifters!AA107,0),Actuals!AD80)</f>
        <v>0</v>
      </c>
      <c r="AD257" s="13" t="n">
        <f aca="false">IF(ISBLANK(Actuals!AE80),IF(Uplifters!$B$2="Yes",Uplifters!AB107,0),Actuals!AE80)</f>
        <v>0</v>
      </c>
      <c r="AE257" s="13" t="n">
        <f aca="false">IF(ISBLANK(Actuals!AF80),IF(Uplifters!$B$2="Yes",Uplifters!AC107,0),Actuals!AF80)</f>
        <v>0</v>
      </c>
      <c r="AF257" s="13" t="n">
        <f aca="false">IF(ISBLANK(Actuals!AG80),IF(Uplifters!$B$2="Yes",Uplifters!AD107,0),Actuals!AG80)</f>
        <v>0</v>
      </c>
      <c r="AG257" s="13" t="n">
        <f aca="false">IF(ISBLANK(Actuals!AH80),IF(Uplifters!$B$2="Yes",Uplifters!AE107,0),Actuals!AH80)</f>
        <v>0</v>
      </c>
      <c r="AH257" s="13" t="n">
        <f aca="false">IF(ISBLANK(Actuals!AI80),IF(Uplifters!$B$2="Yes",Uplifters!AF107,0),Actuals!AI80)</f>
        <v>0</v>
      </c>
      <c r="AI257" s="13" t="n">
        <f aca="false">IF(ISBLANK(Actuals!AJ80),IF(Uplifters!$B$2="Yes",Uplifters!AG107,0),Actuals!AJ80)</f>
        <v>0</v>
      </c>
      <c r="AJ257" s="13" t="n">
        <f aca="false">IF(ISBLANK(Actuals!AK80),IF(Uplifters!$B$2="Yes",Uplifters!AH107,0),Actuals!AK80)</f>
        <v>0</v>
      </c>
      <c r="AK257" s="13" t="n">
        <f aca="false">IF(ISBLANK(Actuals!AL80),IF(Uplifters!$B$2="Yes",Uplifters!AI107,0),Actuals!AL80)</f>
        <v>0</v>
      </c>
      <c r="AL257" s="13" t="n">
        <f aca="false">IF(ISBLANK(Actuals!AM80),IF(Uplifters!$B$2="Yes",Uplifters!AJ107,0),Actuals!AM80)</f>
        <v>0</v>
      </c>
      <c r="AM257" s="13" t="n">
        <f aca="false">IF(ISBLANK(Actuals!AN80),IF(Uplifters!$B$2="Yes",Uplifters!AK107,0),Actuals!AN80)</f>
        <v>0</v>
      </c>
      <c r="AN257" s="13" t="n">
        <f aca="false">IF(ISBLANK(Actuals!AO80),IF(Uplifters!$B$2="Yes",Uplifters!AL107,0),Actuals!AO80)</f>
        <v>0</v>
      </c>
      <c r="AO257" s="13" t="n">
        <f aca="false">IF(ISBLANK(Actuals!AP80),IF(Uplifters!$B$2="Yes",Uplifters!AM107,0),Actuals!AP80)</f>
        <v>0</v>
      </c>
      <c r="AP257" s="13" t="n">
        <f aca="false">IF(ISBLANK(Actuals!AQ80),IF(Uplifters!$B$2="Yes",Uplifters!AN107,0),Actuals!AQ80)</f>
        <v>0</v>
      </c>
      <c r="AQ257" s="13" t="n">
        <f aca="false">IF(ISBLANK(Actuals!AR80),IF(Uplifters!$B$2="Yes",Uplifters!AO107,0),Actuals!AR80)</f>
        <v>0</v>
      </c>
      <c r="AR257" s="13" t="n">
        <f aca="false">IF(ISBLANK(Actuals!AS80),IF(Uplifters!$B$2="Yes",Uplifters!AP107,0),Actuals!AS80)</f>
        <v>0</v>
      </c>
      <c r="AS257" s="13" t="n">
        <f aca="false">IF(ISBLANK(Actuals!AT80),IF(Uplifters!$B$2="Yes",Uplifters!AQ107,0),Actuals!AT80)</f>
        <v>0</v>
      </c>
      <c r="AT257" s="13" t="n">
        <f aca="false">IF(ISBLANK(Actuals!AU80),IF(Uplifters!$B$2="Yes",Uplifters!AR107,0),Actuals!AU80)</f>
        <v>0</v>
      </c>
      <c r="AU257" s="13" t="n">
        <f aca="false">IF(ISBLANK(Actuals!AV80),IF(Uplifters!$B$2="Yes",Uplifters!AS107,0),Actuals!AV80)</f>
        <v>0</v>
      </c>
      <c r="AV257" s="13" t="n">
        <f aca="false">IF(ISBLANK(Actuals!AW80),IF(Uplifters!$B$2="Yes",Uplifters!AT107,0),Actuals!AW80)</f>
        <v>0</v>
      </c>
      <c r="AW257" s="13" t="n">
        <f aca="false">IF(ISBLANK(Actuals!AX80),IF(Uplifters!$B$2="Yes",Uplifters!AU107,0),Actuals!AX80)</f>
        <v>0</v>
      </c>
      <c r="AX257" s="13" t="n">
        <f aca="false">IF(ISBLANK(Actuals!AY80),IF(Uplifters!$B$2="Yes",Uplifters!AV107,0),Actuals!AY80)</f>
        <v>0</v>
      </c>
      <c r="AY257" s="13" t="n">
        <f aca="false">IF(ISBLANK(Actuals!AZ80),IF(Uplifters!$B$2="Yes",Uplifters!AW107,0),Actuals!AZ80)</f>
        <v>0</v>
      </c>
      <c r="AZ257" s="13" t="n">
        <f aca="false">IF(ISBLANK(Actuals!BA80),IF(Uplifters!$B$2="Yes",Uplifters!AX107,0),Actuals!BA80)</f>
        <v>0</v>
      </c>
      <c r="BA257" s="13" t="n">
        <f aca="false">IF(ISBLANK(Actuals!BB80),IF(Uplifters!$B$2="Yes",Uplifters!AY107,0),Actuals!BB80)</f>
        <v>0</v>
      </c>
      <c r="BB257" s="13" t="n">
        <f aca="false">IF(ISBLANK(Actuals!BC80),IF(Uplifters!$B$2="Yes",Uplifters!AZ107,0),Actuals!BC80)</f>
        <v>0</v>
      </c>
      <c r="BC257" s="13" t="n">
        <f aca="false">IF(ISBLANK(Actuals!BD80),IF(Uplifters!$B$2="Yes",Uplifters!BA107,0),Actuals!BD80)</f>
        <v>0</v>
      </c>
      <c r="BD257" s="13" t="n">
        <f aca="false">IF(ISBLANK(Actuals!BE80),IF(Uplifters!$B$2="Yes",Uplifters!BB107,0),Actuals!BE80)</f>
        <v>0</v>
      </c>
      <c r="BE257" s="13" t="n">
        <f aca="false">IF(ISBLANK(Actuals!BF80),IF(Uplifters!$B$2="Yes",Uplifters!BC107,0),Actuals!BF80)</f>
        <v>0</v>
      </c>
      <c r="BF257" s="13" t="n">
        <f aca="false">IF(ISBLANK(Actuals!BG80),IF(Uplifters!$B$2="Yes",Uplifters!BD107,0),Actuals!BG80)</f>
        <v>0</v>
      </c>
      <c r="BG257" s="13" t="n">
        <f aca="false">IF(ISBLANK(Actuals!BH80),IF(Uplifters!$B$2="Yes",Uplifters!BE107,0),Actuals!BH80)</f>
        <v>0</v>
      </c>
      <c r="BH257" s="13" t="n">
        <f aca="false">IF(ISBLANK(Actuals!BI80),IF(Uplifters!$B$2="Yes",Uplifters!BF107,0),Actuals!BI80)</f>
        <v>0</v>
      </c>
      <c r="BI257" s="13" t="n">
        <f aca="false">IF(ISBLANK(Actuals!BJ80),IF(Uplifters!$B$2="Yes",Uplifters!BG107,0),Actuals!BJ80)</f>
        <v>0</v>
      </c>
      <c r="BJ257" s="13" t="n">
        <f aca="false">IF(ISBLANK(Actuals!BK80),IF(Uplifters!$B$2="Yes",Uplifters!BH107,0),Actuals!BK80)</f>
        <v>0</v>
      </c>
      <c r="BK257" s="13" t="n">
        <f aca="false">IF(ISBLANK(Actuals!BL80),IF(Uplifters!$B$2="Yes",Uplifters!BI107,0),Actuals!BL80)</f>
        <v>0</v>
      </c>
      <c r="BL257" s="13" t="n">
        <f aca="false">IF(ISBLANK(Actuals!BM80),IF(Uplifters!$B$2="Yes",Uplifters!BJ107,0),Actuals!BM80)</f>
        <v>0</v>
      </c>
      <c r="BM257" s="13" t="n">
        <f aca="false">IF(ISBLANK(Actuals!BN80),IF(Uplifters!$B$2="Yes",Uplifters!BK107,0),Actuals!BN80)</f>
        <v>0</v>
      </c>
      <c r="BN257" s="13" t="n">
        <f aca="false">IF(ISBLANK(Actuals!BO80),IF(Uplifters!$B$2="Yes",Uplifters!BL107,0),Actuals!BO80)</f>
        <v>0</v>
      </c>
      <c r="BO257" s="13" t="n">
        <f aca="false">IF(ISBLANK(Actuals!BP80),IF(Uplifters!$B$2="Yes",Uplifters!BM107,0),Actuals!BP80)</f>
        <v>0</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48922.8018796993</v>
      </c>
      <c r="O261" s="30" t="n">
        <f aca="false">SUM(O240:O260)</f>
        <v>46937.8394736842</v>
      </c>
      <c r="P261" s="30" t="n">
        <f aca="false">SUM(P240:P260)</f>
        <v>47437.8394736842</v>
      </c>
      <c r="Q261" s="30" t="n">
        <f aca="false">SUM(Q240:Q260)</f>
        <v>47437.8394736842</v>
      </c>
      <c r="R261" s="30" t="n">
        <f aca="false">SUM(R240:R260)</f>
        <v>47437.8394736842</v>
      </c>
      <c r="S261" s="30" t="n">
        <f aca="false">SUM(S240:S260)</f>
        <v>47437.8394736842</v>
      </c>
      <c r="T261" s="30" t="n">
        <f aca="false">SUM(T240:T260)</f>
        <v>21931.5894736842</v>
      </c>
      <c r="U261" s="30" t="n">
        <f aca="false">SUM(U240:U260)</f>
        <v>23531.5894736842</v>
      </c>
      <c r="V261" s="30" t="n">
        <f aca="false">SUM(V240:V260)</f>
        <v>23531.5894736842</v>
      </c>
      <c r="W261" s="30" t="n">
        <f aca="false">SUM(W240:W260)</f>
        <v>23531.5894736842</v>
      </c>
      <c r="X261" s="30" t="n">
        <f aca="false">SUM(X240:X260)</f>
        <v>22992.7894736842</v>
      </c>
      <c r="Y261" s="30" t="n">
        <f aca="false">SUM(Y240:Y260)</f>
        <v>80367.7894736842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81682</v>
      </c>
      <c r="BD261" s="30" t="n">
        <f aca="false">SUM(BD240:BD260)</f>
        <v>0</v>
      </c>
      <c r="BE261" s="30" t="n">
        <f aca="false">SUM(BE240:BE260)</f>
        <v>0</v>
      </c>
      <c r="BF261" s="30" t="n">
        <f aca="false">SUM(BF240:BF260)</f>
        <v>59178</v>
      </c>
      <c r="BG261" s="30" t="n">
        <f aca="false">SUM(BG240:BG260)</f>
        <v>0</v>
      </c>
      <c r="BH261" s="30" t="n">
        <f aca="false">SUM(BH240:BH260)</f>
        <v>0</v>
      </c>
      <c r="BI261" s="30" t="n">
        <f aca="false">SUM(BI240:BI260)</f>
        <v>59176</v>
      </c>
      <c r="BJ261" s="30" t="n">
        <f aca="false">SUM(BJ240:BJ260)</f>
        <v>0</v>
      </c>
      <c r="BK261" s="30" t="n">
        <f aca="false">SUM(BK240:BK260)</f>
        <v>0</v>
      </c>
      <c r="BL261" s="30" t="n">
        <f aca="false">SUM(BL240:BL260)</f>
        <v>59176</v>
      </c>
      <c r="BM261" s="30" t="n">
        <f aca="false">SUM(BM240:BM260)</f>
        <v>0</v>
      </c>
      <c r="BN261" s="30" t="n">
        <f aca="false">SUM(BN240:BN260)</f>
        <v>0</v>
      </c>
      <c r="BO261" s="30" t="n">
        <f aca="false">SUM(BO240:BO260)</f>
        <v>59176</v>
      </c>
      <c r="BP261" s="30" t="n">
        <f aca="false">SUM(BP240:BP260)</f>
        <v>0</v>
      </c>
      <c r="BQ261" s="30" t="n">
        <f aca="false">SUM(BQ240:BQ260)</f>
        <v>0</v>
      </c>
      <c r="BR261" s="30" t="n">
        <f aca="false">SUM(BR240:BR260)</f>
        <v>67763</v>
      </c>
      <c r="BS261" s="30" t="n">
        <f aca="false">SUM(BS240:BS260)</f>
        <v>0</v>
      </c>
      <c r="BT261" s="30" t="n">
        <f aca="false">SUM(BT240:BT260)</f>
        <v>0</v>
      </c>
      <c r="BU261" s="30" t="n">
        <f aca="false">SUM(BU240:BU260)</f>
        <v>67762</v>
      </c>
      <c r="BV261" s="30" t="n">
        <f aca="false">SUM(BV240:BV260)</f>
        <v>0</v>
      </c>
      <c r="BW261" s="30" t="n">
        <f aca="false">SUM(BW240:BW260)</f>
        <v>0</v>
      </c>
      <c r="BX261" s="30" t="n">
        <f aca="false">SUM(BX240:BX260)</f>
        <v>67762</v>
      </c>
      <c r="BY261" s="30" t="n">
        <f aca="false">SUM(BY240:BY260)</f>
        <v>0</v>
      </c>
      <c r="BZ261" s="30" t="n">
        <f aca="false">SUM(BZ240:BZ260)</f>
        <v>0</v>
      </c>
      <c r="CA261" s="30" t="n">
        <f aca="false">SUM(CA240:CA260)</f>
        <v>67762</v>
      </c>
      <c r="CB261" s="30" t="n">
        <f aca="false">SUM(CB240:CB260)</f>
        <v>0</v>
      </c>
      <c r="CC261" s="30" t="n">
        <f aca="false">SUM(CC240:CC260)</f>
        <v>0</v>
      </c>
      <c r="CD261" s="30" t="n">
        <f aca="false">SUM(CD240:CD260)</f>
        <v>76499</v>
      </c>
      <c r="CE261" s="30" t="n">
        <f aca="false">SUM(CE240:CE260)</f>
        <v>0</v>
      </c>
      <c r="CF261" s="30" t="n">
        <f aca="false">SUM(CF240:CF260)</f>
        <v>0</v>
      </c>
      <c r="CG261" s="30" t="n">
        <f aca="false">SUM(CG240:CG260)</f>
        <v>76499</v>
      </c>
      <c r="CH261" s="30" t="n">
        <f aca="false">SUM(CH240:CH260)</f>
        <v>0</v>
      </c>
      <c r="CI261" s="30" t="n">
        <f aca="false">SUM(CI240:CI260)</f>
        <v>0</v>
      </c>
      <c r="CJ261" s="30" t="n">
        <f aca="false">SUM(CJ240:CJ260)</f>
        <v>76499</v>
      </c>
      <c r="CK261" s="30" t="n">
        <f aca="false">SUM(CK240:CK260)</f>
        <v>76499</v>
      </c>
      <c r="CL261" s="30" t="n">
        <f aca="false">SUM(CL240:CL260)</f>
        <v>76499</v>
      </c>
      <c r="CM261" s="30" t="n">
        <f aca="false">SUM(CM240:CM260)</f>
        <v>76499</v>
      </c>
      <c r="CN261" s="30" t="n">
        <f aca="false">SUM(CN240:CN260)</f>
        <v>76499</v>
      </c>
      <c r="CO261" s="30" t="n">
        <f aca="false">SUM(CO240:CO260)</f>
        <v>76499</v>
      </c>
      <c r="CP261" s="30" t="n">
        <f aca="false">SUM(CP240:CP260)</f>
        <v>76499</v>
      </c>
      <c r="CQ261" s="30" t="n">
        <f aca="false">SUM(CQ240:CQ260)</f>
        <v>76499</v>
      </c>
      <c r="CR261" s="30" t="n">
        <f aca="false">SUM(CR240:CR260)</f>
        <v>76499</v>
      </c>
      <c r="CS261" s="30" t="n">
        <f aca="false">SUM(CS240:CS260)</f>
        <v>76499</v>
      </c>
      <c r="CT261" s="30" t="n">
        <f aca="false">SUM(CT240:CT260)</f>
        <v>76499</v>
      </c>
      <c r="CU261" s="30" t="n">
        <f aca="false">SUM(CU240:CU260)</f>
        <v>76499</v>
      </c>
      <c r="CV261" s="30" t="n">
        <f aca="false">SUM(CV240:CV260)</f>
        <v>76499</v>
      </c>
      <c r="CW261" s="30" t="n">
        <f aca="false">SUM(CW240:CW260)</f>
        <v>76499</v>
      </c>
      <c r="CX261" s="30" t="n">
        <f aca="false">SUM(CX240:CX260)</f>
        <v>76499</v>
      </c>
      <c r="CY261" s="30" t="n">
        <f aca="false">SUM(CY240:CY260)</f>
        <v>76499</v>
      </c>
      <c r="CZ261" s="30" t="n">
        <f aca="false">SUM(CZ240:CZ260)</f>
        <v>76499</v>
      </c>
      <c r="DA261" s="30" t="n">
        <f aca="false">SUM(DA240:DA260)</f>
        <v>76499</v>
      </c>
      <c r="DB261" s="30" t="n">
        <f aca="false">SUM(DB240:DB260)</f>
        <v>76499</v>
      </c>
      <c r="DC261" s="30" t="n">
        <f aca="false">SUM(DC240:DC260)</f>
        <v>76499</v>
      </c>
      <c r="DD261" s="30" t="n">
        <f aca="false">SUM(DD240:DD260)</f>
        <v>76499</v>
      </c>
      <c r="DE261" s="30" t="n">
        <f aca="false">SUM(DE240:DE260)</f>
        <v>76499</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-0</v>
      </c>
      <c r="BD290" s="13" t="n">
        <f aca="false">IF(ISBLANK(Actuals!BE110),-Helpers!BB23+BD338,Actuals!BE110)</f>
        <v>-0</v>
      </c>
      <c r="BE290" s="13" t="n">
        <f aca="false">IF(ISBLANK(Actuals!BF110),-Helpers!BC23+BE338,Actuals!BF110)</f>
        <v>-0</v>
      </c>
      <c r="BF290" s="13" t="n">
        <f aca="false">IF(ISBLANK(Actuals!BG110),-Helpers!BD23+BF338,Actuals!BG110)</f>
        <v>-0</v>
      </c>
      <c r="BG290" s="13" t="n">
        <f aca="false">IF(ISBLANK(Actuals!BH110),-Helpers!BE23+BG338,Actuals!BH110)</f>
        <v>-0</v>
      </c>
      <c r="BH290" s="13" t="n">
        <f aca="false">IF(ISBLANK(Actuals!BI110),-Helpers!BF23+BH338,Actuals!BI110)</f>
        <v>-0</v>
      </c>
      <c r="BI290" s="13" t="n">
        <f aca="false">IF(ISBLANK(Actuals!BJ110),-Helpers!BG23+BI338,Actuals!BJ110)</f>
        <v>-0</v>
      </c>
      <c r="BJ290" s="13" t="n">
        <f aca="false">IF(ISBLANK(Actuals!BK110),-Helpers!BH23+BJ338,Actuals!BK110)</f>
        <v>-0</v>
      </c>
      <c r="BK290" s="13" t="n">
        <f aca="false">IF(ISBLANK(Actuals!BL110),-Helpers!BI23+BK338,Actuals!BL110)</f>
        <v>-0</v>
      </c>
      <c r="BL290" s="13" t="n">
        <f aca="false">IF(ISBLANK(Actuals!BM110),-Helpers!BJ23+BL338,Actuals!BM110)</f>
        <v>-0</v>
      </c>
      <c r="BM290" s="13" t="n">
        <f aca="false">IF(ISBLANK(Actuals!BN110),-Helpers!BK23+BM338,Actuals!BN110)</f>
        <v>-0</v>
      </c>
      <c r="BN290" s="13" t="n">
        <f aca="false">IF(ISBLANK(Actuals!BO110),-Helpers!BL23+BN338,Actuals!BO110)</f>
        <v>-0</v>
      </c>
      <c r="BO290" s="13" t="n">
        <f aca="false">IF(ISBLANK(Actuals!BP110),-Helpers!BM23+BO338,Actuals!BP110)</f>
        <v>-0</v>
      </c>
      <c r="BP290" s="13" t="n">
        <f aca="false">IF(ISBLANK(Actuals!BQ110),-Helpers!BN23+BP338,Actuals!BQ110)</f>
        <v>-0</v>
      </c>
      <c r="BQ290" s="13" t="n">
        <f aca="false">IF(ISBLANK(Actuals!BR110),-Helpers!BO23+BQ338,Actuals!BR110)</f>
        <v>-0</v>
      </c>
      <c r="BR290" s="13" t="n">
        <f aca="false">IF(ISBLANK(Actuals!BS110),-Helpers!BP23+BR338,Actuals!BS110)</f>
        <v>-0</v>
      </c>
      <c r="BS290" s="13" t="n">
        <f aca="false">IF(ISBLANK(Actuals!BT110),-Helpers!BQ23+BS338,Actuals!BT110)</f>
        <v>-0</v>
      </c>
      <c r="BT290" s="13" t="n">
        <f aca="false">IF(ISBLANK(Actuals!BU110),-Helpers!BR23+BT338,Actuals!BU110)</f>
        <v>-0</v>
      </c>
      <c r="BU290" s="13" t="n">
        <f aca="false">IF(ISBLANK(Actuals!BV110),-Helpers!BS23+BU338,Actuals!BV110)</f>
        <v>-0</v>
      </c>
      <c r="BV290" s="13" t="n">
        <f aca="false">IF(ISBLANK(Actuals!BW110),-Helpers!BT23+BV338,Actuals!BW110)</f>
        <v>-0</v>
      </c>
      <c r="BW290" s="13" t="n">
        <f aca="false">IF(ISBLANK(Actuals!BX110),-Helpers!BU23+BW338,Actuals!BX110)</f>
        <v>-0</v>
      </c>
      <c r="BX290" s="13" t="n">
        <f aca="false">IF(ISBLANK(Actuals!BY110),-Helpers!BV23+BX338,Actuals!BY110)</f>
        <v>-0</v>
      </c>
      <c r="BY290" s="13" t="n">
        <f aca="false">IF(ISBLANK(Actuals!BZ110),-Helpers!BW23+BY338,Actuals!BZ110)</f>
        <v>-0</v>
      </c>
      <c r="BZ290" s="13" t="n">
        <f aca="false">IF(ISBLANK(Actuals!CA110),-Helpers!BX23+BZ338,Actuals!CA110)</f>
        <v>-0</v>
      </c>
      <c r="CA290" s="13" t="n">
        <f aca="false">IF(ISBLANK(Actuals!CB110),-Helpers!BY23+CA338,Actuals!CB110)</f>
        <v>-0</v>
      </c>
      <c r="CB290" s="13" t="n">
        <f aca="false">IF(ISBLANK(Actuals!CC110),-Helpers!BZ23+CB338,Actuals!CC110)</f>
        <v>-0</v>
      </c>
      <c r="CC290" s="13" t="n">
        <f aca="false">IF(ISBLANK(Actuals!CD110),-Helpers!CA23+CC338,Actuals!CD110)</f>
        <v>-0</v>
      </c>
      <c r="CD290" s="13" t="n">
        <f aca="false">IF(ISBLANK(Actuals!CE110),-Helpers!CB23+CD338,Actuals!CE110)</f>
        <v>-0</v>
      </c>
      <c r="CE290" s="13" t="n">
        <f aca="false">IF(ISBLANK(Actuals!CF110),-Helpers!CC23+CE338,Actuals!CF110)</f>
        <v>-0</v>
      </c>
      <c r="CF290" s="13" t="n">
        <f aca="false">IF(ISBLANK(Actuals!CG110),-Helpers!CD23+CF338,Actuals!CG110)</f>
        <v>-0</v>
      </c>
      <c r="CG290" s="13" t="n">
        <f aca="false">IF(ISBLANK(Actuals!CH110),-Helpers!CE23+CG338,Actuals!CH110)</f>
        <v>-0</v>
      </c>
      <c r="CH290" s="13" t="n">
        <f aca="false">IF(ISBLANK(Actuals!CI110),-Helpers!CF23+CH338,Actuals!CI110)</f>
        <v>-0</v>
      </c>
      <c r="CI290" s="13" t="n">
        <f aca="false">IF(ISBLANK(Actuals!CJ110),-Helpers!CG23+CI338,Actuals!CJ110)</f>
        <v>-0</v>
      </c>
      <c r="CJ290" s="13" t="n">
        <f aca="false">IF(ISBLANK(Actuals!CK110),-Helpers!CH23+CJ338,Actuals!CK110)</f>
        <v>-0</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-0</v>
      </c>
      <c r="CB291" s="13" t="n">
        <f aca="false">IF(ISBLANK(Actuals!CC111),-Helpers!BZ26+CB333,Actuals!CC111)</f>
        <v>-0</v>
      </c>
      <c r="CC291" s="13" t="n">
        <f aca="false">IF(ISBLANK(Actuals!CD111),-Helpers!CA26+CC333,Actuals!CD111)</f>
        <v>-0</v>
      </c>
      <c r="CD291" s="13" t="n">
        <f aca="false">IF(ISBLANK(Actuals!CE111),-Helpers!CB26+CD333,Actuals!CE111)</f>
        <v>-0</v>
      </c>
      <c r="CE291" s="13" t="n">
        <f aca="false">IF(ISBLANK(Actuals!CF111),-Helpers!CC26+CE333,Actuals!CF111)</f>
        <v>-0</v>
      </c>
      <c r="CF291" s="13" t="n">
        <f aca="false">IF(ISBLANK(Actuals!CG111),-Helpers!CD26+CF333,Actuals!CG111)</f>
        <v>-0</v>
      </c>
      <c r="CG291" s="13" t="n">
        <f aca="false">IF(ISBLANK(Actuals!CH111),-Helpers!CE26+CG333,Actuals!CH111)</f>
        <v>-0</v>
      </c>
      <c r="CH291" s="13" t="n">
        <f aca="false">IF(ISBLANK(Actuals!CI111),-Helpers!CF26+CH333,Actuals!CI111)</f>
        <v>-0</v>
      </c>
      <c r="CI291" s="13" t="n">
        <f aca="false">IF(ISBLANK(Actuals!CJ111),-Helpers!CG26+CI333,Actuals!CJ111)</f>
        <v>-0</v>
      </c>
      <c r="CJ291" s="13" t="n">
        <f aca="false">IF(ISBLANK(Actuals!CK111),-Helpers!CH26+CJ333,Actuals!CK111)</f>
        <v>-0</v>
      </c>
      <c r="CK291" s="13" t="n">
        <f aca="false">IF(ISBLANK(Actuals!CL111),-Helpers!CI26+CK333,Actuals!CL111)</f>
        <v>-0</v>
      </c>
      <c r="CL291" s="13" t="n">
        <f aca="false">IF(ISBLANK(Actuals!CM111),-Helpers!CJ26+CL333,Actuals!CM111)</f>
        <v>-0</v>
      </c>
      <c r="CM291" s="13" t="n">
        <f aca="false">IF(ISBLANK(Actuals!CN111),-Helpers!CK26+CM333,Actuals!CN111)</f>
        <v>-0</v>
      </c>
      <c r="CN291" s="13" t="n">
        <f aca="false">IF(ISBLANK(Actuals!CO111),-Helpers!CL26+CN333,Actuals!CO111)</f>
        <v>-0</v>
      </c>
      <c r="CO291" s="13" t="n">
        <f aca="false">IF(ISBLANK(Actuals!CP111),-Helpers!CM26+CO333,Actuals!CP111)</f>
        <v>-0</v>
      </c>
      <c r="CP291" s="13" t="n">
        <f aca="false">IF(ISBLANK(Actuals!CQ111),-Helpers!CN26+CP333,Actuals!CQ111)</f>
        <v>-0</v>
      </c>
      <c r="CQ291" s="13" t="n">
        <f aca="false">IF(ISBLANK(Actuals!CR111),-Helpers!CO26+CQ333,Actuals!CR111)</f>
        <v>-0</v>
      </c>
      <c r="CR291" s="13" t="n">
        <f aca="false">IF(ISBLANK(Actuals!CS111),-Helpers!CP26+CR333,Actuals!CS111)</f>
        <v>-0</v>
      </c>
      <c r="CS291" s="13" t="n">
        <f aca="false">IF(ISBLANK(Actuals!CT111),-Helpers!CQ26+CS333,Actuals!CT111)</f>
        <v>-0</v>
      </c>
      <c r="CT291" s="13" t="n">
        <f aca="false">IF(ISBLANK(Actuals!CU111),-Helpers!CR26+CT333,Actuals!CU111)</f>
        <v>-0</v>
      </c>
      <c r="CU291" s="13" t="n">
        <f aca="false">IF(ISBLANK(Actuals!CV111),-Helpers!CS26+CU333,Actuals!CV111)</f>
        <v>-0</v>
      </c>
      <c r="CV291" s="13" t="n">
        <f aca="false">IF(ISBLANK(Actuals!CW111),-Helpers!CT26+CV333,Actuals!CW111)</f>
        <v>-0</v>
      </c>
      <c r="CW291" s="13" t="n">
        <f aca="false">IF(ISBLANK(Actuals!CX111),-Helpers!CU26+CW333,Actuals!CX111)</f>
        <v>-0</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-281104.279174848</v>
      </c>
      <c r="BD292" s="30" t="n">
        <f aca="false">SUM(BD263:BD291)+Actuals!BE113</f>
        <v>-199422.279174848</v>
      </c>
      <c r="BE292" s="30" t="n">
        <f aca="false">SUM(BE263:BE291)+Actuals!BF113</f>
        <v>-199422.279174848</v>
      </c>
      <c r="BF292" s="30" t="n">
        <f aca="false">SUM(BF263:BF291)+Actuals!BG113</f>
        <v>-258600.279174848</v>
      </c>
      <c r="BG292" s="30" t="n">
        <f aca="false">SUM(BG263:BG291)+Actuals!BH113</f>
        <v>-199422.279174848</v>
      </c>
      <c r="BH292" s="30" t="n">
        <f aca="false">SUM(BH263:BH291)+Actuals!BI113</f>
        <v>-199422.279174848</v>
      </c>
      <c r="BI292" s="30" t="n">
        <f aca="false">SUM(BI263:BI291)+Actuals!BJ113</f>
        <v>-258598.279174848</v>
      </c>
      <c r="BJ292" s="30" t="n">
        <f aca="false">SUM(BJ263:BJ291)+Actuals!BK113</f>
        <v>-199422.279174848</v>
      </c>
      <c r="BK292" s="30" t="n">
        <f aca="false">SUM(BK263:BK291)+Actuals!BL113</f>
        <v>-199422.279174848</v>
      </c>
      <c r="BL292" s="30" t="n">
        <f aca="false">SUM(BL263:BL291)+Actuals!BM113</f>
        <v>-258598.279174848</v>
      </c>
      <c r="BM292" s="30" t="n">
        <f aca="false">SUM(BM263:BM291)+Actuals!BN113</f>
        <v>-203310.724758345</v>
      </c>
      <c r="BN292" s="30" t="n">
        <f aca="false">SUM(BN263:BN291)+Actuals!BO113</f>
        <v>-203310.724758345</v>
      </c>
      <c r="BO292" s="30" t="n">
        <f aca="false">SUM(BO263:BO291)+Actuals!BP113</f>
        <v>-262486.724758345</v>
      </c>
      <c r="BP292" s="30" t="n">
        <f aca="false">SUM(BP263:BP291)+Actuals!BQ113</f>
        <v>-203310.724758345</v>
      </c>
      <c r="BQ292" s="30" t="n">
        <f aca="false">SUM(BQ263:BQ291)+Actuals!BR113</f>
        <v>-203310.724758345</v>
      </c>
      <c r="BR292" s="30" t="n">
        <f aca="false">SUM(BR263:BR291)+Actuals!BS113</f>
        <v>-217823.374758345</v>
      </c>
      <c r="BS292" s="30" t="n">
        <f aca="false">SUM(BS263:BS291)+Actuals!BT113</f>
        <v>-203310.724758345</v>
      </c>
      <c r="BT292" s="30" t="n">
        <f aca="false">SUM(BT263:BT291)+Actuals!BU113</f>
        <v>-203310.724758345</v>
      </c>
      <c r="BU292" s="30" t="n">
        <f aca="false">SUM(BU263:BU291)+Actuals!BV113</f>
        <v>-203310.724758345</v>
      </c>
      <c r="BV292" s="30" t="n">
        <f aca="false">SUM(BV263:BV291)+Actuals!BW113</f>
        <v>-203310.724758345</v>
      </c>
      <c r="BW292" s="30" t="n">
        <f aca="false">SUM(BW263:BW291)+Actuals!BX113</f>
        <v>-203310.724758345</v>
      </c>
      <c r="BX292" s="30" t="n">
        <f aca="false">SUM(BX263:BX291)+Actuals!BY113</f>
        <v>-203310.724758345</v>
      </c>
      <c r="BY292" s="30" t="n">
        <f aca="false">SUM(BY263:BY291)+Actuals!BZ113</f>
        <v>-207276.939253512</v>
      </c>
      <c r="BZ292" s="30" t="n">
        <f aca="false">SUM(BZ263:BZ291)+Actuals!CA113</f>
        <v>-207276.939253512</v>
      </c>
      <c r="CA292" s="30" t="n">
        <f aca="false">SUM(CA263:CA291)+Actuals!CB113</f>
        <v>-207276.939253512</v>
      </c>
      <c r="CB292" s="30" t="n">
        <f aca="false">SUM(CB263:CB291)+Actuals!CC113</f>
        <v>-207276.939253512</v>
      </c>
      <c r="CC292" s="30" t="n">
        <f aca="false">SUM(CC263:CC291)+Actuals!CD113</f>
        <v>-207276.939253512</v>
      </c>
      <c r="CD292" s="30" t="n">
        <f aca="false">SUM(CD263:CD291)+Actuals!CE113</f>
        <v>-207276.939253512</v>
      </c>
      <c r="CE292" s="30" t="n">
        <f aca="false">SUM(CE263:CE291)+Actuals!CF113</f>
        <v>-207276.939253512</v>
      </c>
      <c r="CF292" s="30" t="n">
        <f aca="false">SUM(CF263:CF291)+Actuals!CG113</f>
        <v>-207276.939253512</v>
      </c>
      <c r="CG292" s="30" t="n">
        <f aca="false">SUM(CG263:CG291)+Actuals!CH113</f>
        <v>-207276.939253512</v>
      </c>
      <c r="CH292" s="30" t="n">
        <f aca="false">SUM(CH263:CH291)+Actuals!CI113</f>
        <v>-207276.939253512</v>
      </c>
      <c r="CI292" s="30" t="n">
        <f aca="false">SUM(CI263:CI291)+Actuals!CJ113</f>
        <v>-207276.939253512</v>
      </c>
      <c r="CJ292" s="30" t="n">
        <f aca="false">SUM(CJ263:CJ291)+Actuals!CK113</f>
        <v>-207276.939253512</v>
      </c>
      <c r="CK292" s="30" t="n">
        <f aca="false">SUM(CK263:CK291)+Actuals!CL113</f>
        <v>-211322.478038582</v>
      </c>
      <c r="CL292" s="30" t="n">
        <f aca="false">SUM(CL263:CL291)+Actuals!CM113</f>
        <v>-211322.478038582</v>
      </c>
      <c r="CM292" s="30" t="n">
        <f aca="false">SUM(CM263:CM291)+Actuals!CN113</f>
        <v>-211322.478038582</v>
      </c>
      <c r="CN292" s="30" t="n">
        <f aca="false">SUM(CN263:CN291)+Actuals!CO113</f>
        <v>-211322.478038582</v>
      </c>
      <c r="CO292" s="30" t="n">
        <f aca="false">SUM(CO263:CO291)+Actuals!CP113</f>
        <v>-211322.478038582</v>
      </c>
      <c r="CP292" s="30" t="n">
        <f aca="false">SUM(CP263:CP291)+Actuals!CQ113</f>
        <v>-211322.478038582</v>
      </c>
      <c r="CQ292" s="30" t="n">
        <f aca="false">SUM(CQ263:CQ291)+Actuals!CR113</f>
        <v>-211322.478038582</v>
      </c>
      <c r="CR292" s="30" t="n">
        <f aca="false">SUM(CR263:CR291)+Actuals!CS113</f>
        <v>-211322.478038582</v>
      </c>
      <c r="CS292" s="30" t="n">
        <f aca="false">SUM(CS263:CS291)+Actuals!CT113</f>
        <v>-211322.478038582</v>
      </c>
      <c r="CT292" s="30" t="n">
        <f aca="false">SUM(CT263:CT291)+Actuals!CU113</f>
        <v>-202300.509357253</v>
      </c>
      <c r="CU292" s="30" t="n">
        <f aca="false">SUM(CU263:CU291)+Actuals!CV113</f>
        <v>-202300.509357253</v>
      </c>
      <c r="CV292" s="30" t="n">
        <f aca="false">SUM(CV263:CV291)+Actuals!CW113</f>
        <v>-202300.509357253</v>
      </c>
      <c r="CW292" s="30" t="n">
        <f aca="false">SUM(CW263:CW291)+Actuals!CX113</f>
        <v>-206246.519544398</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-135693.331453634</v>
      </c>
      <c r="O293" s="37" t="n">
        <f aca="false">O261+O292</f>
        <v>-137678.293859649</v>
      </c>
      <c r="P293" s="37" t="n">
        <f aca="false">P261+P292</f>
        <v>-137178.293859649</v>
      </c>
      <c r="Q293" s="37" t="n">
        <f aca="false">Q261+Q292</f>
        <v>-140770.616526316</v>
      </c>
      <c r="R293" s="37" t="n">
        <f aca="false">R261+R292</f>
        <v>-140770.616526316</v>
      </c>
      <c r="S293" s="37" t="n">
        <f aca="false">S261+S292</f>
        <v>-140770.616526316</v>
      </c>
      <c r="T293" s="37" t="n">
        <f aca="false">T261+T292</f>
        <v>-166276.866526316</v>
      </c>
      <c r="U293" s="37" t="n">
        <f aca="false">U261+U292</f>
        <v>-164676.866526316</v>
      </c>
      <c r="V293" s="37" t="n">
        <f aca="false">V261+V292</f>
        <v>-164676.866526316</v>
      </c>
      <c r="W293" s="37" t="n">
        <f aca="false">W261+W292</f>
        <v>-164676.866526316</v>
      </c>
      <c r="X293" s="37" t="n">
        <f aca="false">X261+X292</f>
        <v>-165215.666526316</v>
      </c>
      <c r="Y293" s="37" t="n">
        <f aca="false">Y261+Y292</f>
        <v>-107840.666526316</v>
      </c>
      <c r="Z293" s="37" t="n">
        <f aca="false">Z261+Z292</f>
        <v>-172392.666526316</v>
      </c>
      <c r="AA293" s="37" t="n">
        <f aca="false">AA261+AA292</f>
        <v>-172392.666526316</v>
      </c>
      <c r="AB293" s="37" t="n">
        <f aca="false">AB261+AB292</f>
        <v>-115017.666526316</v>
      </c>
      <c r="AC293" s="37" t="n">
        <f aca="false">AC261+AC292</f>
        <v>-176056.835646316</v>
      </c>
      <c r="AD293" s="37" t="n">
        <f aca="false">AD261+AD292</f>
        <v>-176056.835646316</v>
      </c>
      <c r="AE293" s="37" t="n">
        <f aca="false">AE261+AE292</f>
        <v>-118681.835646316</v>
      </c>
      <c r="AF293" s="37" t="n">
        <f aca="false">AF261+AF292</f>
        <v>-176056.835646316</v>
      </c>
      <c r="AG293" s="37" t="n">
        <f aca="false">AG261+AG292</f>
        <v>-179214.730383158</v>
      </c>
      <c r="AH293" s="37" t="n">
        <f aca="false">AH261+AH292</f>
        <v>-182372.62512</v>
      </c>
      <c r="AI293" s="37" t="n">
        <f aca="false">AI261+AI292</f>
        <v>-191872.62512</v>
      </c>
      <c r="AJ293" s="37" t="n">
        <f aca="false">AJ261+AJ292</f>
        <v>-191872.62512</v>
      </c>
      <c r="AK293" s="37" t="n">
        <f aca="false">AK261+AK292</f>
        <v>-191872.62512</v>
      </c>
      <c r="AL293" s="37" t="n">
        <f aca="false">AL261+AL292</f>
        <v>-191872.62512</v>
      </c>
      <c r="AM293" s="37" t="n">
        <f aca="false">AM261+AM292</f>
        <v>-191872.62512</v>
      </c>
      <c r="AN293" s="37" t="n">
        <f aca="false">AN261+AN292</f>
        <v>-191872.62512</v>
      </c>
      <c r="AO293" s="37" t="n">
        <f aca="false">AO261+AO292</f>
        <v>-195610.0776224</v>
      </c>
      <c r="AP293" s="37" t="n">
        <f aca="false">AP261+AP292</f>
        <v>-195610.0776224</v>
      </c>
      <c r="AQ293" s="37" t="n">
        <f aca="false">AQ261+AQ292</f>
        <v>-195610.0776224</v>
      </c>
      <c r="AR293" s="37" t="n">
        <f aca="false">AR261+AR292</f>
        <v>-195610.0776224</v>
      </c>
      <c r="AS293" s="37" t="n">
        <f aca="false">AS261+AS292</f>
        <v>-195610.0776224</v>
      </c>
      <c r="AT293" s="37" t="n">
        <f aca="false">AT261+AT292</f>
        <v>-195610.0776224</v>
      </c>
      <c r="AU293" s="37" t="n">
        <f aca="false">AU261+AU292</f>
        <v>-195610.0776224</v>
      </c>
      <c r="AV293" s="37" t="n">
        <f aca="false">AV261+AV292</f>
        <v>-195610.0776224</v>
      </c>
      <c r="AW293" s="37" t="n">
        <f aca="false">AW261+AW292</f>
        <v>-195610.0776224</v>
      </c>
      <c r="AX293" s="37" t="n">
        <f aca="false">AX261+AX292</f>
        <v>-195610.0776224</v>
      </c>
      <c r="AY293" s="37" t="n">
        <f aca="false">AY261+AY292</f>
        <v>-195610.0776224</v>
      </c>
      <c r="AZ293" s="37" t="n">
        <f aca="false">AZ261+AZ292</f>
        <v>-195610.0776224</v>
      </c>
      <c r="BA293" s="37" t="n">
        <f aca="false">BA261+BA292</f>
        <v>-199422.279174848</v>
      </c>
      <c r="BB293" s="37" t="n">
        <f aca="false">BB261+BB292</f>
        <v>-199422.279174848</v>
      </c>
      <c r="BC293" s="37" t="n">
        <f aca="false">BC261+BC292</f>
        <v>-199422.279174848</v>
      </c>
      <c r="BD293" s="37" t="n">
        <f aca="false">BD261+BD292</f>
        <v>-199422.279174848</v>
      </c>
      <c r="BE293" s="37" t="n">
        <f aca="false">BE261+BE292</f>
        <v>-199422.279174848</v>
      </c>
      <c r="BF293" s="37" t="n">
        <f aca="false">BF261+BF292</f>
        <v>-199422.279174848</v>
      </c>
      <c r="BG293" s="37" t="n">
        <f aca="false">BG261+BG292</f>
        <v>-199422.279174848</v>
      </c>
      <c r="BH293" s="37" t="n">
        <f aca="false">BH261+BH292</f>
        <v>-199422.279174848</v>
      </c>
      <c r="BI293" s="37" t="n">
        <f aca="false">BI261+BI292</f>
        <v>-199422.279174848</v>
      </c>
      <c r="BJ293" s="37" t="n">
        <f aca="false">BJ261+BJ292</f>
        <v>-199422.279174848</v>
      </c>
      <c r="BK293" s="37" t="n">
        <f aca="false">BK261+BK292</f>
        <v>-199422.279174848</v>
      </c>
      <c r="BL293" s="37" t="n">
        <f aca="false">BL261+BL292</f>
        <v>-199422.279174848</v>
      </c>
      <c r="BM293" s="37" t="n">
        <f aca="false">BM261+BM292</f>
        <v>-203310.724758345</v>
      </c>
      <c r="BN293" s="37" t="n">
        <f aca="false">BN261+BN292</f>
        <v>-203310.724758345</v>
      </c>
      <c r="BO293" s="37" t="n">
        <f aca="false">BO261+BO292</f>
        <v>-203310.724758345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-130777.939253512</v>
      </c>
      <c r="CK293" s="37" t="n">
        <f aca="false">CK261+CK292</f>
        <v>-134823.478038582</v>
      </c>
      <c r="CL293" s="37" t="n">
        <f aca="false">CL261+CL292</f>
        <v>-134823.478038582</v>
      </c>
      <c r="CM293" s="37" t="n">
        <f aca="false">CM261+CM292</f>
        <v>-134823.478038582</v>
      </c>
      <c r="CN293" s="37" t="n">
        <f aca="false">CN261+CN292</f>
        <v>-134823.478038582</v>
      </c>
      <c r="CO293" s="37" t="n">
        <f aca="false">CO261+CO292</f>
        <v>-134823.478038582</v>
      </c>
      <c r="CP293" s="37" t="n">
        <f aca="false">CP261+CP292</f>
        <v>-134823.478038582</v>
      </c>
      <c r="CQ293" s="37" t="n">
        <f aca="false">CQ261+CQ292</f>
        <v>-134823.478038582</v>
      </c>
      <c r="CR293" s="37" t="n">
        <f aca="false">CR261+CR292</f>
        <v>-134823.478038582</v>
      </c>
      <c r="CS293" s="37" t="n">
        <f aca="false">CS261+CS292</f>
        <v>-134823.478038582</v>
      </c>
      <c r="CT293" s="37" t="n">
        <f aca="false">CT261+CT292</f>
        <v>-125801.509357253</v>
      </c>
      <c r="CU293" s="37" t="n">
        <f aca="false">CU261+CU292</f>
        <v>-125801.509357253</v>
      </c>
      <c r="CV293" s="37" t="n">
        <f aca="false">CV261+CV292</f>
        <v>-125801.509357253</v>
      </c>
      <c r="CW293" s="37" t="n">
        <f aca="false">CW261+CW292</f>
        <v>-129747.519544398</v>
      </c>
      <c r="CX293" s="37" t="n">
        <f aca="false">CX261+CX292</f>
        <v>-129747.519544398</v>
      </c>
      <c r="CY293" s="37" t="n">
        <f aca="false">CY261+CY292</f>
        <v>-129747.519544398</v>
      </c>
      <c r="CZ293" s="37" t="n">
        <f aca="false">CZ261+CZ292</f>
        <v>-129747.519544398</v>
      </c>
      <c r="DA293" s="37" t="n">
        <f aca="false">DA261+DA292</f>
        <v>-129747.519544398</v>
      </c>
      <c r="DB293" s="37" t="n">
        <f aca="false">DB261+DB292</f>
        <v>-129747.519544398</v>
      </c>
      <c r="DC293" s="37" t="n">
        <f aca="false">DC261+DC292</f>
        <v>-129747.519544398</v>
      </c>
      <c r="DD293" s="37" t="n">
        <f aca="false">DD261+DD292</f>
        <v>-129747.519544398</v>
      </c>
      <c r="DE293" s="37" t="n">
        <f aca="false">DE261+DE292</f>
        <v>-129747.519544398</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799056.457819715</v>
      </c>
      <c r="R296" s="13" t="n">
        <f aca="false">R199</f>
        <v>743138.417819715</v>
      </c>
      <c r="S296" s="13" t="n">
        <f aca="false">S199</f>
        <v>728919.357819716</v>
      </c>
      <c r="T296" s="13" t="n">
        <f aca="false">T199</f>
        <v>805897.637819715</v>
      </c>
      <c r="U296" s="13" t="n">
        <f aca="false">U199</f>
        <v>700168.347819716</v>
      </c>
      <c r="V296" s="13" t="n">
        <f aca="false">V199</f>
        <v>778747.437819713</v>
      </c>
      <c r="W296" s="13" t="n">
        <f aca="false">W199</f>
        <v>667061.137819716</v>
      </c>
      <c r="X296" s="13" t="n">
        <f aca="false">X199</f>
        <v>841676.677819715</v>
      </c>
      <c r="Y296" s="13" t="n">
        <f aca="false">Y199</f>
        <v>679915.857819716</v>
      </c>
      <c r="Z296" s="13" t="n">
        <f aca="false">Z199</f>
        <v>806262.037819715</v>
      </c>
      <c r="AA296" s="13" t="n">
        <f aca="false">AA199</f>
        <v>835500.691180855</v>
      </c>
      <c r="AB296" s="13" t="n">
        <f aca="false">AB199</f>
        <v>649168.969080353</v>
      </c>
      <c r="AC296" s="13" t="n">
        <f aca="false">AC199</f>
        <v>420443.499836798</v>
      </c>
      <c r="AD296" s="13" t="n">
        <f aca="false">AD199</f>
        <v>443393.409836798</v>
      </c>
      <c r="AE296" s="13" t="n">
        <f aca="false">AE199</f>
        <v>434325.419836798</v>
      </c>
      <c r="AF296" s="13" t="n">
        <f aca="false">AF199</f>
        <v>603945.23395151</v>
      </c>
      <c r="AG296" s="13" t="n">
        <f aca="false">AG199</f>
        <v>514042.322203035</v>
      </c>
      <c r="AH296" s="13" t="n">
        <f aca="false">AH199</f>
        <v>377348.999241136</v>
      </c>
      <c r="AI296" s="13" t="n">
        <f aca="false">AI199</f>
        <v>371182.129241135</v>
      </c>
      <c r="AJ296" s="13" t="n">
        <f aca="false">AJ199</f>
        <v>376553.228808885</v>
      </c>
      <c r="AK296" s="13" t="n">
        <f aca="false">AK199</f>
        <v>122218.81</v>
      </c>
      <c r="AL296" s="13" t="n">
        <f aca="false">AL199</f>
        <v>136528.88</v>
      </c>
      <c r="AM296" s="13" t="n">
        <f aca="false">AM199</f>
        <v>148410.66</v>
      </c>
      <c r="AN296" s="13" t="n">
        <f aca="false">AN199</f>
        <v>39928.61</v>
      </c>
      <c r="AO296" s="13" t="n">
        <f aca="false">AO199</f>
        <v>0</v>
      </c>
      <c r="AP296" s="13" t="n">
        <f aca="false">AP199</f>
        <v>0</v>
      </c>
      <c r="AQ296" s="13" t="n">
        <f aca="false">AQ199</f>
        <v>0</v>
      </c>
      <c r="AR296" s="13" t="n">
        <f aca="false">AR199</f>
        <v>0</v>
      </c>
      <c r="AS296" s="13" t="n">
        <f aca="false">AS199</f>
        <v>0</v>
      </c>
      <c r="AT296" s="13" t="n">
        <f aca="false">AT199</f>
        <v>0</v>
      </c>
      <c r="AU296" s="13" t="n">
        <f aca="false">AU199</f>
        <v>0</v>
      </c>
      <c r="AV296" s="13" t="n">
        <f aca="false">AV199</f>
        <v>0</v>
      </c>
      <c r="AW296" s="13" t="n">
        <f aca="false">AW199</f>
        <v>0</v>
      </c>
      <c r="AX296" s="13" t="n">
        <f aca="false">AX199</f>
        <v>0</v>
      </c>
      <c r="AY296" s="13" t="n">
        <f aca="false">AY199</f>
        <v>0</v>
      </c>
      <c r="AZ296" s="13" t="n">
        <f aca="false">AZ199</f>
        <v>0</v>
      </c>
      <c r="BA296" s="13" t="n">
        <f aca="false">BA199</f>
        <v>0</v>
      </c>
      <c r="BB296" s="13" t="n">
        <f aca="false">BB199</f>
        <v>0</v>
      </c>
      <c r="BC296" s="13" t="n">
        <f aca="false">BC199</f>
        <v>0</v>
      </c>
      <c r="BD296" s="13" t="n">
        <f aca="false">BD199</f>
        <v>0</v>
      </c>
      <c r="BE296" s="13" t="n">
        <f aca="false">BE199</f>
        <v>0</v>
      </c>
      <c r="BF296" s="13" t="n">
        <f aca="false">BF199</f>
        <v>0</v>
      </c>
      <c r="BG296" s="13" t="n">
        <f aca="false">BG199</f>
        <v>0</v>
      </c>
      <c r="BH296" s="13" t="n">
        <f aca="false">BH199</f>
        <v>0</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48922.8018796993</v>
      </c>
      <c r="O297" s="13" t="n">
        <f aca="false">O261</f>
        <v>46937.8394736842</v>
      </c>
      <c r="P297" s="13" t="n">
        <f aca="false">P261</f>
        <v>47437.8394736842</v>
      </c>
      <c r="Q297" s="13" t="n">
        <f aca="false">Q261</f>
        <v>47437.8394736842</v>
      </c>
      <c r="R297" s="13" t="n">
        <f aca="false">R261</f>
        <v>47437.8394736842</v>
      </c>
      <c r="S297" s="13" t="n">
        <f aca="false">S261</f>
        <v>47437.8394736842</v>
      </c>
      <c r="T297" s="13" t="n">
        <f aca="false">T261</f>
        <v>21931.5894736842</v>
      </c>
      <c r="U297" s="13" t="n">
        <f aca="false">U261</f>
        <v>23531.5894736842</v>
      </c>
      <c r="V297" s="13" t="n">
        <f aca="false">V261</f>
        <v>23531.5894736842</v>
      </c>
      <c r="W297" s="13" t="n">
        <f aca="false">W261</f>
        <v>23531.5894736842</v>
      </c>
      <c r="X297" s="13" t="n">
        <f aca="false">X261</f>
        <v>22992.7894736842</v>
      </c>
      <c r="Y297" s="13" t="n">
        <f aca="false">Y261</f>
        <v>80367.7894736842</v>
      </c>
      <c r="Z297" s="13" t="n">
        <f aca="false">Z261</f>
        <v>15815.7894736842</v>
      </c>
      <c r="AA297" s="13" t="n">
        <f aca="false">AA261</f>
        <v>15815.7894736842</v>
      </c>
      <c r="AB297" s="13" t="n">
        <f aca="false">AB261</f>
        <v>73190.7894736842</v>
      </c>
      <c r="AC297" s="13" t="n">
        <f aca="false">AC261</f>
        <v>15815.7894736842</v>
      </c>
      <c r="AD297" s="13" t="n">
        <f aca="false">AD261</f>
        <v>15815.7894736842</v>
      </c>
      <c r="AE297" s="13" t="n">
        <f aca="false">AE261</f>
        <v>73190.7894736842</v>
      </c>
      <c r="AF297" s="13" t="n">
        <f aca="false">AF261</f>
        <v>15815.7894736842</v>
      </c>
      <c r="AG297" s="13" t="n">
        <f aca="false">AG261</f>
        <v>12657.8947368421</v>
      </c>
      <c r="AH297" s="13" t="n">
        <f aca="false">AH261</f>
        <v>9500</v>
      </c>
      <c r="AI297" s="13" t="n">
        <f aca="false">AI261</f>
        <v>0</v>
      </c>
      <c r="AJ297" s="13" t="n">
        <f aca="false">AJ261</f>
        <v>0</v>
      </c>
      <c r="AK297" s="13" t="n">
        <f aca="false">AK261</f>
        <v>0</v>
      </c>
      <c r="AL297" s="13" t="n">
        <f aca="false">AL261</f>
        <v>0</v>
      </c>
      <c r="AM297" s="13" t="n">
        <f aca="false">AM261</f>
        <v>0</v>
      </c>
      <c r="AN297" s="13" t="n">
        <f aca="false">AN261</f>
        <v>0</v>
      </c>
      <c r="AO297" s="13" t="n">
        <f aca="false">AO261</f>
        <v>0</v>
      </c>
      <c r="AP297" s="13" t="n">
        <f aca="false">AP261</f>
        <v>0</v>
      </c>
      <c r="AQ297" s="13" t="n">
        <f aca="false">AQ261</f>
        <v>0</v>
      </c>
      <c r="AR297" s="13" t="n">
        <f aca="false">AR261</f>
        <v>0</v>
      </c>
      <c r="AS297" s="13" t="n">
        <f aca="false">AS261</f>
        <v>0</v>
      </c>
      <c r="AT297" s="13" t="n">
        <f aca="false">AT261</f>
        <v>81683</v>
      </c>
      <c r="AU297" s="13" t="n">
        <f aca="false">AU261</f>
        <v>0</v>
      </c>
      <c r="AV297" s="13" t="n">
        <f aca="false">AV261</f>
        <v>0</v>
      </c>
      <c r="AW297" s="13" t="n">
        <f aca="false">AW261</f>
        <v>81682</v>
      </c>
      <c r="AX297" s="13" t="n">
        <f aca="false">AX261</f>
        <v>0</v>
      </c>
      <c r="AY297" s="13" t="n">
        <f aca="false">AY261</f>
        <v>0</v>
      </c>
      <c r="AZ297" s="13" t="n">
        <f aca="false">AZ261</f>
        <v>81682</v>
      </c>
      <c r="BA297" s="13" t="n">
        <f aca="false">BA261</f>
        <v>0</v>
      </c>
      <c r="BB297" s="13" t="n">
        <f aca="false">BB261</f>
        <v>0</v>
      </c>
      <c r="BC297" s="13" t="n">
        <f aca="false">BC261</f>
        <v>81682</v>
      </c>
      <c r="BD297" s="13" t="n">
        <f aca="false">BD261</f>
        <v>0</v>
      </c>
      <c r="BE297" s="13" t="n">
        <f aca="false">BE261</f>
        <v>0</v>
      </c>
      <c r="BF297" s="13" t="n">
        <f aca="false">BF261</f>
        <v>59178</v>
      </c>
      <c r="BG297" s="13" t="n">
        <f aca="false">BG261</f>
        <v>0</v>
      </c>
      <c r="BH297" s="13" t="n">
        <f aca="false">BH261</f>
        <v>0</v>
      </c>
      <c r="BI297" s="13" t="n">
        <f aca="false">BI261</f>
        <v>59176</v>
      </c>
      <c r="BJ297" s="13" t="n">
        <f aca="false">BJ261</f>
        <v>0</v>
      </c>
      <c r="BK297" s="13" t="n">
        <f aca="false">BK261</f>
        <v>0</v>
      </c>
      <c r="BL297" s="13" t="n">
        <f aca="false">BL261</f>
        <v>59176</v>
      </c>
      <c r="BM297" s="13" t="n">
        <f aca="false">BM261</f>
        <v>0</v>
      </c>
      <c r="BN297" s="13" t="n">
        <f aca="false">BN261</f>
        <v>0</v>
      </c>
      <c r="BO297" s="13" t="n">
        <f aca="false">BO261</f>
        <v>59176</v>
      </c>
      <c r="BP297" s="13" t="n">
        <f aca="false">BP261</f>
        <v>0</v>
      </c>
      <c r="BQ297" s="13" t="n">
        <f aca="false">BQ261</f>
        <v>0</v>
      </c>
      <c r="BR297" s="13" t="n">
        <f aca="false">BR261</f>
        <v>67763</v>
      </c>
      <c r="BS297" s="13" t="n">
        <f aca="false">BS261</f>
        <v>0</v>
      </c>
      <c r="BT297" s="13" t="n">
        <f aca="false">BT261</f>
        <v>0</v>
      </c>
      <c r="BU297" s="13" t="n">
        <f aca="false">BU261</f>
        <v>67762</v>
      </c>
      <c r="BV297" s="13" t="n">
        <f aca="false">BV261</f>
        <v>0</v>
      </c>
      <c r="BW297" s="13" t="n">
        <f aca="false">BW261</f>
        <v>0</v>
      </c>
      <c r="BX297" s="13" t="n">
        <f aca="false">BX261</f>
        <v>67762</v>
      </c>
      <c r="BY297" s="13" t="n">
        <f aca="false">BY261</f>
        <v>0</v>
      </c>
      <c r="BZ297" s="13" t="n">
        <f aca="false">BZ261</f>
        <v>0</v>
      </c>
      <c r="CA297" s="13" t="n">
        <f aca="false">CA261</f>
        <v>67762</v>
      </c>
      <c r="CB297" s="13" t="n">
        <f aca="false">CB261</f>
        <v>0</v>
      </c>
      <c r="CC297" s="13" t="n">
        <f aca="false">CC261</f>
        <v>0</v>
      </c>
      <c r="CD297" s="13" t="n">
        <f aca="false">CD261</f>
        <v>76499</v>
      </c>
      <c r="CE297" s="13" t="n">
        <f aca="false">CE261</f>
        <v>0</v>
      </c>
      <c r="CF297" s="13" t="n">
        <f aca="false">CF261</f>
        <v>0</v>
      </c>
      <c r="CG297" s="13" t="n">
        <f aca="false">CG261</f>
        <v>76499</v>
      </c>
      <c r="CH297" s="13" t="n">
        <f aca="false">CH261</f>
        <v>0</v>
      </c>
      <c r="CI297" s="13" t="n">
        <f aca="false">CI261</f>
        <v>0</v>
      </c>
      <c r="CJ297" s="13" t="n">
        <f aca="false">CJ261</f>
        <v>76499</v>
      </c>
      <c r="CK297" s="13" t="n">
        <f aca="false">CK261</f>
        <v>76499</v>
      </c>
      <c r="CL297" s="13" t="n">
        <f aca="false">CL261</f>
        <v>76499</v>
      </c>
      <c r="CM297" s="13" t="n">
        <f aca="false">CM261</f>
        <v>76499</v>
      </c>
      <c r="CN297" s="13" t="n">
        <f aca="false">CN261</f>
        <v>76499</v>
      </c>
      <c r="CO297" s="13" t="n">
        <f aca="false">CO261</f>
        <v>76499</v>
      </c>
      <c r="CP297" s="13" t="n">
        <f aca="false">CP261</f>
        <v>76499</v>
      </c>
      <c r="CQ297" s="13" t="n">
        <f aca="false">CQ261</f>
        <v>76499</v>
      </c>
      <c r="CR297" s="13" t="n">
        <f aca="false">CR261</f>
        <v>76499</v>
      </c>
      <c r="CS297" s="13" t="n">
        <f aca="false">CS261</f>
        <v>76499</v>
      </c>
      <c r="CT297" s="13" t="n">
        <f aca="false">CT261</f>
        <v>76499</v>
      </c>
      <c r="CU297" s="13" t="n">
        <f aca="false">CU261</f>
        <v>76499</v>
      </c>
      <c r="CV297" s="13" t="n">
        <f aca="false">CV261</f>
        <v>76499</v>
      </c>
      <c r="CW297" s="13" t="n">
        <f aca="false">CW261</f>
        <v>76499</v>
      </c>
      <c r="CX297" s="13" t="n">
        <f aca="false">CX261</f>
        <v>76499</v>
      </c>
      <c r="CY297" s="13" t="n">
        <f aca="false">CY261</f>
        <v>76499</v>
      </c>
      <c r="CZ297" s="13" t="n">
        <f aca="false">CZ261</f>
        <v>76499</v>
      </c>
      <c r="DA297" s="13" t="n">
        <f aca="false">DA261</f>
        <v>76499</v>
      </c>
      <c r="DB297" s="13" t="n">
        <f aca="false">DB261</f>
        <v>76499</v>
      </c>
      <c r="DC297" s="13" t="n">
        <f aca="false">DC261</f>
        <v>76499</v>
      </c>
      <c r="DD297" s="13" t="n">
        <f aca="false">DD261</f>
        <v>76499</v>
      </c>
      <c r="DE297" s="13" t="n">
        <f aca="false">DE261</f>
        <v>76499</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970120.823218466</v>
      </c>
      <c r="O298" s="30" t="n">
        <f aca="false">O296+O297</f>
        <v>878921.337293399</v>
      </c>
      <c r="P298" s="30" t="n">
        <f aca="false">P296+P297</f>
        <v>900244.827293401</v>
      </c>
      <c r="Q298" s="30" t="n">
        <f aca="false">Q296+Q297</f>
        <v>846494.297293399</v>
      </c>
      <c r="R298" s="30" t="n">
        <f aca="false">R296+R297</f>
        <v>790576.257293399</v>
      </c>
      <c r="S298" s="30" t="n">
        <f aca="false">S296+S297</f>
        <v>776357.1972934</v>
      </c>
      <c r="T298" s="30" t="n">
        <f aca="false">T296+T297</f>
        <v>827829.227293399</v>
      </c>
      <c r="U298" s="30" t="n">
        <f aca="false">U296+U297</f>
        <v>723699.9372934</v>
      </c>
      <c r="V298" s="30" t="n">
        <f aca="false">V296+V297</f>
        <v>802279.027293397</v>
      </c>
      <c r="W298" s="30" t="n">
        <f aca="false">W296+W297</f>
        <v>690592.7272934</v>
      </c>
      <c r="X298" s="30" t="n">
        <f aca="false">X296+X297</f>
        <v>864669.467293399</v>
      </c>
      <c r="Y298" s="30" t="n">
        <f aca="false">Y296+Y297</f>
        <v>760283.6472934</v>
      </c>
      <c r="Z298" s="30" t="n">
        <f aca="false">Z296+Z297</f>
        <v>822077.827293399</v>
      </c>
      <c r="AA298" s="30" t="n">
        <f aca="false">AA296+AA297</f>
        <v>851316.480654539</v>
      </c>
      <c r="AB298" s="30" t="n">
        <f aca="false">AB296+AB297</f>
        <v>722359.758554037</v>
      </c>
      <c r="AC298" s="30" t="n">
        <f aca="false">AC296+AC297</f>
        <v>436259.289310482</v>
      </c>
      <c r="AD298" s="30" t="n">
        <f aca="false">AD296+AD297</f>
        <v>459209.199310482</v>
      </c>
      <c r="AE298" s="30" t="n">
        <f aca="false">AE296+AE297</f>
        <v>507516.209310482</v>
      </c>
      <c r="AF298" s="30" t="n">
        <f aca="false">AF296+AF297</f>
        <v>619761.023425195</v>
      </c>
      <c r="AG298" s="30" t="n">
        <f aca="false">AG296+AG297</f>
        <v>526700.216939878</v>
      </c>
      <c r="AH298" s="30" t="n">
        <f aca="false">AH296+AH297</f>
        <v>386848.999241136</v>
      </c>
      <c r="AI298" s="30" t="n">
        <f aca="false">AI296+AI297</f>
        <v>371182.129241135</v>
      </c>
      <c r="AJ298" s="30" t="n">
        <f aca="false">AJ296+AJ297</f>
        <v>376553.228808885</v>
      </c>
      <c r="AK298" s="30" t="n">
        <f aca="false">AK296+AK297</f>
        <v>122218.81</v>
      </c>
      <c r="AL298" s="30" t="n">
        <f aca="false">AL296+AL297</f>
        <v>136528.88</v>
      </c>
      <c r="AM298" s="30" t="n">
        <f aca="false">AM296+AM297</f>
        <v>148410.66</v>
      </c>
      <c r="AN298" s="30" t="n">
        <f aca="false">AN296+AN297</f>
        <v>39928.61</v>
      </c>
      <c r="AO298" s="30" t="n">
        <f aca="false">AO296+AO297</f>
        <v>0</v>
      </c>
      <c r="AP298" s="30" t="n">
        <f aca="false">AP296+AP297</f>
        <v>0</v>
      </c>
      <c r="AQ298" s="30" t="n">
        <f aca="false">AQ296+AQ297</f>
        <v>0</v>
      </c>
      <c r="AR298" s="30" t="n">
        <f aca="false">AR296+AR297</f>
        <v>0</v>
      </c>
      <c r="AS298" s="30" t="n">
        <f aca="false">AS296+AS297</f>
        <v>0</v>
      </c>
      <c r="AT298" s="30" t="n">
        <f aca="false">AT296+AT297</f>
        <v>81683</v>
      </c>
      <c r="AU298" s="30" t="n">
        <f aca="false">AU296+AU297</f>
        <v>0</v>
      </c>
      <c r="AV298" s="30" t="n">
        <f aca="false">AV296+AV297</f>
        <v>0</v>
      </c>
      <c r="AW298" s="30" t="n">
        <f aca="false">AW296+AW297</f>
        <v>81682</v>
      </c>
      <c r="AX298" s="30" t="n">
        <f aca="false">AX296+AX297</f>
        <v>0</v>
      </c>
      <c r="AY298" s="30" t="n">
        <f aca="false">AY296+AY297</f>
        <v>0</v>
      </c>
      <c r="AZ298" s="30" t="n">
        <f aca="false">AZ296+AZ297</f>
        <v>81682</v>
      </c>
      <c r="BA298" s="30" t="n">
        <f aca="false">BA296+BA297</f>
        <v>0</v>
      </c>
      <c r="BB298" s="30" t="n">
        <f aca="false">BB296+BB297</f>
        <v>0</v>
      </c>
      <c r="BC298" s="30" t="n">
        <f aca="false">BC296+BC297</f>
        <v>81682</v>
      </c>
      <c r="BD298" s="30" t="n">
        <f aca="false">BD296+BD297</f>
        <v>0</v>
      </c>
      <c r="BE298" s="30" t="n">
        <f aca="false">BE296+BE297</f>
        <v>0</v>
      </c>
      <c r="BF298" s="30" t="n">
        <f aca="false">BF296+BF297</f>
        <v>59178</v>
      </c>
      <c r="BG298" s="30" t="n">
        <f aca="false">BG296+BG297</f>
        <v>0</v>
      </c>
      <c r="BH298" s="30" t="n">
        <f aca="false">BH296+BH297</f>
        <v>0</v>
      </c>
      <c r="BI298" s="30" t="n">
        <f aca="false">BI296+BI297</f>
        <v>59176</v>
      </c>
      <c r="BJ298" s="30" t="n">
        <f aca="false">BJ296+BJ297</f>
        <v>0</v>
      </c>
      <c r="BK298" s="30" t="n">
        <f aca="false">BK296+BK297</f>
        <v>0</v>
      </c>
      <c r="BL298" s="30" t="n">
        <f aca="false">BL296+BL297</f>
        <v>59176</v>
      </c>
      <c r="BM298" s="30" t="n">
        <f aca="false">BM296+BM297</f>
        <v>0</v>
      </c>
      <c r="BN298" s="30" t="n">
        <f aca="false">BN296+BN297</f>
        <v>0</v>
      </c>
      <c r="BO298" s="30" t="n">
        <f aca="false">BO296+BO297</f>
        <v>59176</v>
      </c>
      <c r="BP298" s="30" t="n">
        <f aca="false">BP296+BP297</f>
        <v>0</v>
      </c>
      <c r="BQ298" s="30" t="n">
        <f aca="false">BQ296+BQ297</f>
        <v>0</v>
      </c>
      <c r="BR298" s="30" t="n">
        <f aca="false">BR296+BR297</f>
        <v>67763</v>
      </c>
      <c r="BS298" s="30" t="n">
        <f aca="false">BS296+BS297</f>
        <v>0</v>
      </c>
      <c r="BT298" s="30" t="n">
        <f aca="false">BT296+BT297</f>
        <v>0</v>
      </c>
      <c r="BU298" s="30" t="n">
        <f aca="false">BU296+BU297</f>
        <v>67762</v>
      </c>
      <c r="BV298" s="30" t="n">
        <f aca="false">BV296+BV297</f>
        <v>0</v>
      </c>
      <c r="BW298" s="30" t="n">
        <f aca="false">BW296+BW297</f>
        <v>0</v>
      </c>
      <c r="BX298" s="30" t="n">
        <f aca="false">BX296+BX297</f>
        <v>67762</v>
      </c>
      <c r="BY298" s="30" t="n">
        <f aca="false">BY296+BY297</f>
        <v>0</v>
      </c>
      <c r="BZ298" s="30" t="n">
        <f aca="false">BZ296+BZ297</f>
        <v>0</v>
      </c>
      <c r="CA298" s="30" t="n">
        <f aca="false">CA296+CA297</f>
        <v>67762</v>
      </c>
      <c r="CB298" s="30" t="n">
        <f aca="false">CB296+CB297</f>
        <v>0</v>
      </c>
      <c r="CC298" s="30" t="n">
        <f aca="false">CC296+CC297</f>
        <v>0</v>
      </c>
      <c r="CD298" s="30" t="n">
        <f aca="false">CD296+CD297</f>
        <v>76499</v>
      </c>
      <c r="CE298" s="30" t="n">
        <f aca="false">CE296+CE297</f>
        <v>0</v>
      </c>
      <c r="CF298" s="30" t="n">
        <f aca="false">CF296+CF297</f>
        <v>0</v>
      </c>
      <c r="CG298" s="30" t="n">
        <f aca="false">CG296+CG297</f>
        <v>76499</v>
      </c>
      <c r="CH298" s="30" t="n">
        <f aca="false">CH296+CH297</f>
        <v>0</v>
      </c>
      <c r="CI298" s="30" t="n">
        <f aca="false">CI296+CI297</f>
        <v>0</v>
      </c>
      <c r="CJ298" s="30" t="n">
        <f aca="false">CJ296+CJ297</f>
        <v>76499</v>
      </c>
      <c r="CK298" s="30" t="n">
        <f aca="false">CK296+CK297</f>
        <v>76499</v>
      </c>
      <c r="CL298" s="30" t="n">
        <f aca="false">CL296+CL297</f>
        <v>76499</v>
      </c>
      <c r="CM298" s="30" t="n">
        <f aca="false">CM296+CM297</f>
        <v>76499</v>
      </c>
      <c r="CN298" s="30" t="n">
        <f aca="false">CN296+CN297</f>
        <v>76499</v>
      </c>
      <c r="CO298" s="30" t="n">
        <f aca="false">CO296+CO297</f>
        <v>76499</v>
      </c>
      <c r="CP298" s="30" t="n">
        <f aca="false">CP296+CP297</f>
        <v>76499</v>
      </c>
      <c r="CQ298" s="30" t="n">
        <f aca="false">CQ296+CQ297</f>
        <v>76499</v>
      </c>
      <c r="CR298" s="30" t="n">
        <f aca="false">CR296+CR297</f>
        <v>76499</v>
      </c>
      <c r="CS298" s="30" t="n">
        <f aca="false">CS296+CS297</f>
        <v>76499</v>
      </c>
      <c r="CT298" s="30" t="n">
        <f aca="false">CT296+CT297</f>
        <v>76499</v>
      </c>
      <c r="CU298" s="30" t="n">
        <f aca="false">CU296+CU297</f>
        <v>76499</v>
      </c>
      <c r="CV298" s="30" t="n">
        <f aca="false">CV296+CV297</f>
        <v>76499</v>
      </c>
      <c r="CW298" s="30" t="n">
        <f aca="false">CW296+CW297</f>
        <v>76499</v>
      </c>
      <c r="CX298" s="30" t="n">
        <f aca="false">CX296+CX297</f>
        <v>76499</v>
      </c>
      <c r="CY298" s="30" t="n">
        <f aca="false">CY296+CY297</f>
        <v>76499</v>
      </c>
      <c r="CZ298" s="30" t="n">
        <f aca="false">CZ296+CZ297</f>
        <v>76499</v>
      </c>
      <c r="DA298" s="30" t="n">
        <f aca="false">DA296+DA297</f>
        <v>76499</v>
      </c>
      <c r="DB298" s="30" t="n">
        <f aca="false">DB296+DB297</f>
        <v>76499</v>
      </c>
      <c r="DC298" s="30" t="n">
        <f aca="false">DC296+DC297</f>
        <v>76499</v>
      </c>
      <c r="DD298" s="30" t="n">
        <f aca="false">DD296+DD297</f>
        <v>76499</v>
      </c>
      <c r="DE298" s="30" t="n">
        <f aca="false">DE296+DE297</f>
        <v>76499</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-497225.8787</v>
      </c>
      <c r="R299" s="13" t="n">
        <f aca="false">R236</f>
        <v>-497225.8787</v>
      </c>
      <c r="S299" s="13" t="n">
        <f aca="false">S236</f>
        <v>-497225.8787</v>
      </c>
      <c r="T299" s="13" t="n">
        <f aca="false">T236</f>
        <v>-497225.8787</v>
      </c>
      <c r="U299" s="13" t="n">
        <f aca="false">U236</f>
        <v>-497225.8787</v>
      </c>
      <c r="V299" s="13" t="n">
        <f aca="false">V236</f>
        <v>-493553.532546154</v>
      </c>
      <c r="W299" s="13" t="n">
        <f aca="false">W236</f>
        <v>-479707.3787</v>
      </c>
      <c r="X299" s="13" t="n">
        <f aca="false">X236</f>
        <v>-479707.3787</v>
      </c>
      <c r="Y299" s="13" t="n">
        <f aca="false">Y236</f>
        <v>-478075.224853846</v>
      </c>
      <c r="Z299" s="13" t="n">
        <f aca="false">Z236</f>
        <v>-463454.580623077</v>
      </c>
      <c r="AA299" s="13" t="n">
        <f aca="false">AA236</f>
        <v>-431531.5037</v>
      </c>
      <c r="AB299" s="13" t="n">
        <f aca="false">AB236</f>
        <v>-428267.196007692</v>
      </c>
      <c r="AC299" s="13" t="n">
        <f aca="false">AC236</f>
        <v>-417909.393197077</v>
      </c>
      <c r="AD299" s="13" t="n">
        <f aca="false">AD236</f>
        <v>-395986.316274</v>
      </c>
      <c r="AE299" s="13" t="n">
        <f aca="false">AE236</f>
        <v>-395986.316274</v>
      </c>
      <c r="AF299" s="13" t="n">
        <f aca="false">AF236</f>
        <v>-395986.316274</v>
      </c>
      <c r="AG299" s="13" t="n">
        <f aca="false">AG236</f>
        <v>-395986.316274</v>
      </c>
      <c r="AH299" s="13" t="n">
        <f aca="false">AH236</f>
        <v>-395986.316274</v>
      </c>
      <c r="AI299" s="13" t="n">
        <f aca="false">AI236</f>
        <v>-395986.316274</v>
      </c>
      <c r="AJ299" s="13" t="n">
        <f aca="false">AJ236</f>
        <v>-395986.316274</v>
      </c>
      <c r="AK299" s="13" t="n">
        <f aca="false">AK236</f>
        <v>-395986.316274</v>
      </c>
      <c r="AL299" s="13" t="n">
        <f aca="false">AL236</f>
        <v>-395986.316274</v>
      </c>
      <c r="AM299" s="13" t="n">
        <f aca="false">AM236</f>
        <v>-395986.316274</v>
      </c>
      <c r="AN299" s="13" t="n">
        <f aca="false">AN236</f>
        <v>-395986.316274</v>
      </c>
      <c r="AO299" s="13" t="n">
        <f aca="false">AO236</f>
        <v>-403906.04259948</v>
      </c>
      <c r="AP299" s="13" t="n">
        <f aca="false">AP236</f>
        <v>-403906.04259948</v>
      </c>
      <c r="AQ299" s="13" t="n">
        <f aca="false">AQ236</f>
        <v>-403906.04259948</v>
      </c>
      <c r="AR299" s="13" t="n">
        <f aca="false">AR236</f>
        <v>-403906.04259948</v>
      </c>
      <c r="AS299" s="13" t="n">
        <f aca="false">AS236</f>
        <v>-403906.04259948</v>
      </c>
      <c r="AT299" s="13" t="n">
        <f aca="false">AT236</f>
        <v>-403906.04259948</v>
      </c>
      <c r="AU299" s="13" t="n">
        <f aca="false">AU236</f>
        <v>-403906.04259948</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-184616.133333333</v>
      </c>
      <c r="O300" s="13" t="n">
        <f aca="false">O292</f>
        <v>-184616.133333333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-281104.279174848</v>
      </c>
      <c r="BD300" s="13" t="n">
        <f aca="false">BD292</f>
        <v>-199422.279174848</v>
      </c>
      <c r="BE300" s="13" t="n">
        <f aca="false">BE292</f>
        <v>-199422.279174848</v>
      </c>
      <c r="BF300" s="13" t="n">
        <f aca="false">BF292</f>
        <v>-258600.279174848</v>
      </c>
      <c r="BG300" s="13" t="n">
        <f aca="false">BG292</f>
        <v>-199422.279174848</v>
      </c>
      <c r="BH300" s="13" t="n">
        <f aca="false">BH292</f>
        <v>-199422.279174848</v>
      </c>
      <c r="BI300" s="13" t="n">
        <f aca="false">BI292</f>
        <v>-258598.279174848</v>
      </c>
      <c r="BJ300" s="13" t="n">
        <f aca="false">BJ292</f>
        <v>-199422.279174848</v>
      </c>
      <c r="BK300" s="13" t="n">
        <f aca="false">BK292</f>
        <v>-199422.279174848</v>
      </c>
      <c r="BL300" s="13" t="n">
        <f aca="false">BL292</f>
        <v>-258598.279174848</v>
      </c>
      <c r="BM300" s="13" t="n">
        <f aca="false">BM292</f>
        <v>-203310.724758345</v>
      </c>
      <c r="BN300" s="13" t="n">
        <f aca="false">BN292</f>
        <v>-203310.724758345</v>
      </c>
      <c r="BO300" s="13" t="n">
        <f aca="false">BO292</f>
        <v>-262486.724758345</v>
      </c>
      <c r="BP300" s="13" t="n">
        <f aca="false">BP292</f>
        <v>-203310.724758345</v>
      </c>
      <c r="BQ300" s="13" t="n">
        <f aca="false">BQ292</f>
        <v>-203310.724758345</v>
      </c>
      <c r="BR300" s="13" t="n">
        <f aca="false">BR292</f>
        <v>-217823.374758345</v>
      </c>
      <c r="BS300" s="13" t="n">
        <f aca="false">BS292</f>
        <v>-203310.724758345</v>
      </c>
      <c r="BT300" s="13" t="n">
        <f aca="false">BT292</f>
        <v>-203310.724758345</v>
      </c>
      <c r="BU300" s="13" t="n">
        <f aca="false">BU292</f>
        <v>-203310.724758345</v>
      </c>
      <c r="BV300" s="13" t="n">
        <f aca="false">BV292</f>
        <v>-203310.724758345</v>
      </c>
      <c r="BW300" s="13" t="n">
        <f aca="false">BW292</f>
        <v>-203310.724758345</v>
      </c>
      <c r="BX300" s="13" t="n">
        <f aca="false">BX292</f>
        <v>-203310.724758345</v>
      </c>
      <c r="BY300" s="13" t="n">
        <f aca="false">BY292</f>
        <v>-207276.939253512</v>
      </c>
      <c r="BZ300" s="13" t="n">
        <f aca="false">BZ292</f>
        <v>-207276.939253512</v>
      </c>
      <c r="CA300" s="13" t="n">
        <f aca="false">CA292</f>
        <v>-207276.939253512</v>
      </c>
      <c r="CB300" s="13" t="n">
        <f aca="false">CB292</f>
        <v>-207276.939253512</v>
      </c>
      <c r="CC300" s="13" t="n">
        <f aca="false">CC292</f>
        <v>-207276.939253512</v>
      </c>
      <c r="CD300" s="13" t="n">
        <f aca="false">CD292</f>
        <v>-207276.939253512</v>
      </c>
      <c r="CE300" s="13" t="n">
        <f aca="false">CE292</f>
        <v>-207276.939253512</v>
      </c>
      <c r="CF300" s="13" t="n">
        <f aca="false">CF292</f>
        <v>-207276.939253512</v>
      </c>
      <c r="CG300" s="13" t="n">
        <f aca="false">CG292</f>
        <v>-207276.939253512</v>
      </c>
      <c r="CH300" s="13" t="n">
        <f aca="false">CH292</f>
        <v>-207276.939253512</v>
      </c>
      <c r="CI300" s="13" t="n">
        <f aca="false">CI292</f>
        <v>-207276.939253512</v>
      </c>
      <c r="CJ300" s="13" t="n">
        <f aca="false">CJ292</f>
        <v>-207276.939253512</v>
      </c>
      <c r="CK300" s="13" t="n">
        <f aca="false">CK292</f>
        <v>-211322.478038582</v>
      </c>
      <c r="CL300" s="13" t="n">
        <f aca="false">CL292</f>
        <v>-211322.478038582</v>
      </c>
      <c r="CM300" s="13" t="n">
        <f aca="false">CM292</f>
        <v>-211322.478038582</v>
      </c>
      <c r="CN300" s="13" t="n">
        <f aca="false">CN292</f>
        <v>-211322.478038582</v>
      </c>
      <c r="CO300" s="13" t="n">
        <f aca="false">CO292</f>
        <v>-211322.478038582</v>
      </c>
      <c r="CP300" s="13" t="n">
        <f aca="false">CP292</f>
        <v>-211322.478038582</v>
      </c>
      <c r="CQ300" s="13" t="n">
        <f aca="false">CQ292</f>
        <v>-211322.478038582</v>
      </c>
      <c r="CR300" s="13" t="n">
        <f aca="false">CR292</f>
        <v>-211322.478038582</v>
      </c>
      <c r="CS300" s="13" t="n">
        <f aca="false">CS292</f>
        <v>-211322.478038582</v>
      </c>
      <c r="CT300" s="13" t="n">
        <f aca="false">CT292</f>
        <v>-202300.509357253</v>
      </c>
      <c r="CU300" s="13" t="n">
        <f aca="false">CU292</f>
        <v>-202300.509357253</v>
      </c>
      <c r="CV300" s="13" t="n">
        <f aca="false">CV292</f>
        <v>-202300.509357253</v>
      </c>
      <c r="CW300" s="13" t="n">
        <f aca="false">CW292</f>
        <v>-206246.519544398</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-677090.401666667</v>
      </c>
      <c r="O301" s="30" t="n">
        <f aca="false">O299+O300</f>
        <v>-791816.256875</v>
      </c>
      <c r="P301" s="30" t="n">
        <f aca="false">P299+P300</f>
        <v>-672092.485</v>
      </c>
      <c r="Q301" s="30" t="n">
        <f aca="false">Q299+Q300</f>
        <v>-685434.3347</v>
      </c>
      <c r="R301" s="30" t="n">
        <f aca="false">R299+R300</f>
        <v>-685434.3347</v>
      </c>
      <c r="S301" s="30" t="n">
        <f aca="false">S299+S300</f>
        <v>-685434.3347</v>
      </c>
      <c r="T301" s="30" t="n">
        <f aca="false">T299+T300</f>
        <v>-685434.3347</v>
      </c>
      <c r="U301" s="30" t="n">
        <f aca="false">U299+U300</f>
        <v>-685434.3347</v>
      </c>
      <c r="V301" s="30" t="n">
        <f aca="false">V299+V300</f>
        <v>-681761.988546154</v>
      </c>
      <c r="W301" s="30" t="n">
        <f aca="false">W299+W300</f>
        <v>-667915.8347</v>
      </c>
      <c r="X301" s="30" t="n">
        <f aca="false">X299+X300</f>
        <v>-667915.8347</v>
      </c>
      <c r="Y301" s="30" t="n">
        <f aca="false">Y299+Y300</f>
        <v>-666283.680853846</v>
      </c>
      <c r="Z301" s="30" t="n">
        <f aca="false">Z299+Z300</f>
        <v>-651663.036623077</v>
      </c>
      <c r="AA301" s="30" t="n">
        <f aca="false">AA299+AA300</f>
        <v>-619739.9597</v>
      </c>
      <c r="AB301" s="30" t="n">
        <f aca="false">AB299+AB300</f>
        <v>-616475.652007692</v>
      </c>
      <c r="AC301" s="30" t="n">
        <f aca="false">AC299+AC300</f>
        <v>-609782.018317077</v>
      </c>
      <c r="AD301" s="30" t="n">
        <f aca="false">AD299+AD300</f>
        <v>-587858.941394</v>
      </c>
      <c r="AE301" s="30" t="n">
        <f aca="false">AE299+AE300</f>
        <v>-587858.941394</v>
      </c>
      <c r="AF301" s="30" t="n">
        <f aca="false">AF299+AF300</f>
        <v>-587858.941394</v>
      </c>
      <c r="AG301" s="30" t="n">
        <f aca="false">AG299+AG300</f>
        <v>-587858.941394</v>
      </c>
      <c r="AH301" s="30" t="n">
        <f aca="false">AH299+AH300</f>
        <v>-587858.941394</v>
      </c>
      <c r="AI301" s="30" t="n">
        <f aca="false">AI299+AI300</f>
        <v>-587858.941394</v>
      </c>
      <c r="AJ301" s="30" t="n">
        <f aca="false">AJ299+AJ300</f>
        <v>-587858.941394</v>
      </c>
      <c r="AK301" s="30" t="n">
        <f aca="false">AK299+AK300</f>
        <v>-587858.941394</v>
      </c>
      <c r="AL301" s="30" t="n">
        <f aca="false">AL299+AL300</f>
        <v>-587858.941394</v>
      </c>
      <c r="AM301" s="30" t="n">
        <f aca="false">AM299+AM300</f>
        <v>-587858.941394</v>
      </c>
      <c r="AN301" s="30" t="n">
        <f aca="false">AN299+AN300</f>
        <v>-587858.941394</v>
      </c>
      <c r="AO301" s="30" t="n">
        <f aca="false">AO299+AO300</f>
        <v>-599516.12022188</v>
      </c>
      <c r="AP301" s="30" t="n">
        <f aca="false">AP299+AP300</f>
        <v>-599516.12022188</v>
      </c>
      <c r="AQ301" s="30" t="n">
        <f aca="false">AQ299+AQ300</f>
        <v>-599516.12022188</v>
      </c>
      <c r="AR301" s="30" t="n">
        <f aca="false">AR299+AR300</f>
        <v>-599516.12022188</v>
      </c>
      <c r="AS301" s="30" t="n">
        <f aca="false">AS299+AS300</f>
        <v>-599516.12022188</v>
      </c>
      <c r="AT301" s="30" t="n">
        <f aca="false">AT299+AT300</f>
        <v>-681199.12022188</v>
      </c>
      <c r="AU301" s="30" t="n">
        <f aca="false">AU299+AU300</f>
        <v>-599516.12022188</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-693088.442626318</v>
      </c>
      <c r="BD301" s="30" t="n">
        <f aca="false">BD299+BD300</f>
        <v>-611406.442626318</v>
      </c>
      <c r="BE301" s="30" t="n">
        <f aca="false">BE299+BE300</f>
        <v>-611406.442626318</v>
      </c>
      <c r="BF301" s="30" t="n">
        <f aca="false">BF299+BF300</f>
        <v>-670584.442626318</v>
      </c>
      <c r="BG301" s="30" t="n">
        <f aca="false">BG299+BG300</f>
        <v>-611406.442626318</v>
      </c>
      <c r="BH301" s="30" t="n">
        <f aca="false">BH299+BH300</f>
        <v>-611406.442626318</v>
      </c>
      <c r="BI301" s="30" t="n">
        <f aca="false">BI299+BI300</f>
        <v>-670582.442626318</v>
      </c>
      <c r="BJ301" s="30" t="n">
        <f aca="false">BJ299+BJ300</f>
        <v>-611406.442626318</v>
      </c>
      <c r="BK301" s="30" t="n">
        <f aca="false">BK299+BK300</f>
        <v>-611406.442626318</v>
      </c>
      <c r="BL301" s="30" t="n">
        <f aca="false">BL299+BL300</f>
        <v>-670582.442626318</v>
      </c>
      <c r="BM301" s="30" t="n">
        <f aca="false">BM299+BM300</f>
        <v>-623534.571478844</v>
      </c>
      <c r="BN301" s="30" t="n">
        <f aca="false">BN299+BN300</f>
        <v>-623534.571478844</v>
      </c>
      <c r="BO301" s="30" t="n">
        <f aca="false">BO299+BO300</f>
        <v>-682710.571478844</v>
      </c>
      <c r="BP301" s="30" t="n">
        <f aca="false">BP299+BP300</f>
        <v>-623534.571478844</v>
      </c>
      <c r="BQ301" s="30" t="n">
        <f aca="false">BQ299+BQ300</f>
        <v>-623534.571478844</v>
      </c>
      <c r="BR301" s="30" t="n">
        <f aca="false">BR299+BR300</f>
        <v>-638047.221478844</v>
      </c>
      <c r="BS301" s="30" t="n">
        <f aca="false">BS299+BS300</f>
        <v>-623534.571478844</v>
      </c>
      <c r="BT301" s="30" t="n">
        <f aca="false">BT299+BT300</f>
        <v>-623534.571478844</v>
      </c>
      <c r="BU301" s="30" t="n">
        <f aca="false">BU299+BU300</f>
        <v>-623534.571478844</v>
      </c>
      <c r="BV301" s="30" t="n">
        <f aca="false">BV299+BV300</f>
        <v>-623534.571478844</v>
      </c>
      <c r="BW301" s="30" t="n">
        <f aca="false">BW299+BW300</f>
        <v>-623534.571478844</v>
      </c>
      <c r="BX301" s="30" t="n">
        <f aca="false">BX299+BX300</f>
        <v>-623534.571478844</v>
      </c>
      <c r="BY301" s="30" t="n">
        <f aca="false">BY299+BY300</f>
        <v>-635905.262908421</v>
      </c>
      <c r="BZ301" s="30" t="n">
        <f aca="false">BZ299+BZ300</f>
        <v>-635905.262908421</v>
      </c>
      <c r="CA301" s="30" t="n">
        <f aca="false">CA299+CA300</f>
        <v>-635905.262908421</v>
      </c>
      <c r="CB301" s="30" t="n">
        <f aca="false">CB299+CB300</f>
        <v>-635905.262908421</v>
      </c>
      <c r="CC301" s="30" t="n">
        <f aca="false">CC299+CC300</f>
        <v>-635905.262908421</v>
      </c>
      <c r="CD301" s="30" t="n">
        <f aca="false">CD299+CD300</f>
        <v>-635905.262908421</v>
      </c>
      <c r="CE301" s="30" t="n">
        <f aca="false">CE299+CE300</f>
        <v>-635905.262908421</v>
      </c>
      <c r="CF301" s="30" t="n">
        <f aca="false">CF299+CF300</f>
        <v>-635905.262908421</v>
      </c>
      <c r="CG301" s="30" t="n">
        <f aca="false">CG299+CG300</f>
        <v>-635905.262908421</v>
      </c>
      <c r="CH301" s="30" t="n">
        <f aca="false">CH299+CH300</f>
        <v>-635905.262908421</v>
      </c>
      <c r="CI301" s="30" t="n">
        <f aca="false">CI299+CI300</f>
        <v>-635905.262908421</v>
      </c>
      <c r="CJ301" s="30" t="n">
        <f aca="false">CJ299+CJ300</f>
        <v>-635905.262908421</v>
      </c>
      <c r="CK301" s="30" t="n">
        <f aca="false">CK299+CK300</f>
        <v>-648523.368166589</v>
      </c>
      <c r="CL301" s="30" t="n">
        <f aca="false">CL299+CL300</f>
        <v>-648523.368166589</v>
      </c>
      <c r="CM301" s="30" t="n">
        <f aca="false">CM299+CM300</f>
        <v>-648523.368166589</v>
      </c>
      <c r="CN301" s="30" t="n">
        <f aca="false">CN299+CN300</f>
        <v>-648523.368166589</v>
      </c>
      <c r="CO301" s="30" t="n">
        <f aca="false">CO299+CO300</f>
        <v>-648523.368166589</v>
      </c>
      <c r="CP301" s="30" t="n">
        <f aca="false">CP299+CP300</f>
        <v>-648523.368166589</v>
      </c>
      <c r="CQ301" s="30" t="n">
        <f aca="false">CQ299+CQ300</f>
        <v>-648523.368166589</v>
      </c>
      <c r="CR301" s="30" t="n">
        <f aca="false">CR299+CR300</f>
        <v>-648523.368166589</v>
      </c>
      <c r="CS301" s="30" t="n">
        <f aca="false">CS299+CS300</f>
        <v>-648523.368166589</v>
      </c>
      <c r="CT301" s="30" t="n">
        <f aca="false">CT299+CT300</f>
        <v>-587721.239873812</v>
      </c>
      <c r="CU301" s="30" t="n">
        <f aca="false">CU299+CU300</f>
        <v>-587721.239873812</v>
      </c>
      <c r="CV301" s="30" t="n">
        <f aca="false">CV299+CV300</f>
        <v>-587721.239873812</v>
      </c>
      <c r="CW301" s="30" t="n">
        <f aca="false">CW299+CW300</f>
        <v>-599375.664671288</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293030.421551799</v>
      </c>
      <c r="O302" s="37" t="n">
        <f aca="false">O298+O301</f>
        <v>87105.0804183994</v>
      </c>
      <c r="P302" s="37" t="n">
        <f aca="false">P298+P301</f>
        <v>228152.3422934</v>
      </c>
      <c r="Q302" s="37" t="n">
        <f aca="false">Q298+Q301</f>
        <v>161059.962593399</v>
      </c>
      <c r="R302" s="37" t="n">
        <f aca="false">R298+R301</f>
        <v>105141.922593399</v>
      </c>
      <c r="S302" s="37" t="n">
        <f aca="false">S298+S301</f>
        <v>90922.8625933997</v>
      </c>
      <c r="T302" s="37" t="n">
        <f aca="false">T298+T301</f>
        <v>142394.892593399</v>
      </c>
      <c r="U302" s="37" t="n">
        <f aca="false">U298+U301</f>
        <v>38265.6025933999</v>
      </c>
      <c r="V302" s="37" t="n">
        <f aca="false">V298+V301</f>
        <v>120517.038747243</v>
      </c>
      <c r="W302" s="37" t="n">
        <f aca="false">W298+W301</f>
        <v>22676.8925934</v>
      </c>
      <c r="X302" s="37" t="n">
        <f aca="false">X298+X301</f>
        <v>196753.632593399</v>
      </c>
      <c r="Y302" s="37" t="n">
        <f aca="false">Y298+Y301</f>
        <v>93999.9664395537</v>
      </c>
      <c r="Z302" s="37" t="n">
        <f aca="false">Z298+Z301</f>
        <v>170414.790670322</v>
      </c>
      <c r="AA302" s="37" t="n">
        <f aca="false">AA298+AA301</f>
        <v>231576.520954539</v>
      </c>
      <c r="AB302" s="37" t="n">
        <f aca="false">AB298+AB301</f>
        <v>105884.106546345</v>
      </c>
      <c r="AC302" s="37" t="n">
        <f aca="false">AC298+AC301</f>
        <v>-173522.729006595</v>
      </c>
      <c r="AD302" s="37" t="n">
        <f aca="false">AD298+AD301</f>
        <v>-128649.742083518</v>
      </c>
      <c r="AE302" s="37" t="n">
        <f aca="false">AE298+AE301</f>
        <v>-80342.7320835181</v>
      </c>
      <c r="AF302" s="37" t="n">
        <f aca="false">AF298+AF301</f>
        <v>31902.0820311945</v>
      </c>
      <c r="AG302" s="37" t="n">
        <f aca="false">AG298+AG301</f>
        <v>-61158.7244541225</v>
      </c>
      <c r="AH302" s="37" t="n">
        <f aca="false">AH298+AH301</f>
        <v>-201009.942152865</v>
      </c>
      <c r="AI302" s="37" t="n">
        <f aca="false">AI298+AI301</f>
        <v>-216676.812152865</v>
      </c>
      <c r="AJ302" s="37" t="n">
        <f aca="false">AJ298+AJ301</f>
        <v>-211305.712585115</v>
      </c>
      <c r="AK302" s="37" t="n">
        <f aca="false">AK298+AK301</f>
        <v>-465640.131394</v>
      </c>
      <c r="AL302" s="37" t="n">
        <f aca="false">AL298+AL301</f>
        <v>-451330.061394</v>
      </c>
      <c r="AM302" s="37" t="n">
        <f aca="false">AM298+AM301</f>
        <v>-439448.281394</v>
      </c>
      <c r="AN302" s="37" t="n">
        <f aca="false">AN298+AN301</f>
        <v>-547930.331394</v>
      </c>
      <c r="AO302" s="37" t="n">
        <f aca="false">AO298+AO301</f>
        <v>-599516.12022188</v>
      </c>
      <c r="AP302" s="37" t="n">
        <f aca="false">AP298+AP301</f>
        <v>-599516.12022188</v>
      </c>
      <c r="AQ302" s="37" t="n">
        <f aca="false">AQ298+AQ301</f>
        <v>-599516.12022188</v>
      </c>
      <c r="AR302" s="37" t="n">
        <f aca="false">AR298+AR301</f>
        <v>-599516.12022188</v>
      </c>
      <c r="AS302" s="37" t="n">
        <f aca="false">AS298+AS301</f>
        <v>-599516.12022188</v>
      </c>
      <c r="AT302" s="37" t="n">
        <f aca="false">AT298+AT301</f>
        <v>-599516.12022188</v>
      </c>
      <c r="AU302" s="37" t="n">
        <f aca="false">AU298+AU301</f>
        <v>-599516.12022188</v>
      </c>
      <c r="AV302" s="37" t="n">
        <f aca="false">AV298+AV301</f>
        <v>-599516.12022188</v>
      </c>
      <c r="AW302" s="37" t="n">
        <f aca="false">AW298+AW301</f>
        <v>-599516.12022188</v>
      </c>
      <c r="AX302" s="37" t="n">
        <f aca="false">AX298+AX301</f>
        <v>-599516.12022188</v>
      </c>
      <c r="AY302" s="37" t="n">
        <f aca="false">AY298+AY301</f>
        <v>-599516.12022188</v>
      </c>
      <c r="AZ302" s="37" t="n">
        <f aca="false">AZ298+AZ301</f>
        <v>-599516.12022188</v>
      </c>
      <c r="BA302" s="37" t="n">
        <f aca="false">BA298+BA301</f>
        <v>-611406.442626318</v>
      </c>
      <c r="BB302" s="37" t="n">
        <f aca="false">BB298+BB301</f>
        <v>-611406.442626318</v>
      </c>
      <c r="BC302" s="37" t="n">
        <f aca="false">BC298+BC301</f>
        <v>-611406.442626318</v>
      </c>
      <c r="BD302" s="37" t="n">
        <f aca="false">BD298+BD301</f>
        <v>-611406.442626318</v>
      </c>
      <c r="BE302" s="37" t="n">
        <f aca="false">BE298+BE301</f>
        <v>-611406.442626318</v>
      </c>
      <c r="BF302" s="37" t="n">
        <f aca="false">BF298+BF301</f>
        <v>-611406.442626318</v>
      </c>
      <c r="BG302" s="37" t="n">
        <f aca="false">BG298+BG301</f>
        <v>-611406.442626318</v>
      </c>
      <c r="BH302" s="37" t="n">
        <f aca="false">BH298+BH301</f>
        <v>-611406.442626318</v>
      </c>
      <c r="BI302" s="37" t="n">
        <f aca="false">BI298+BI301</f>
        <v>-611406.442626318</v>
      </c>
      <c r="BJ302" s="37" t="n">
        <f aca="false">BJ298+BJ301</f>
        <v>-611406.442626318</v>
      </c>
      <c r="BK302" s="37" t="n">
        <f aca="false">BK298+BK301</f>
        <v>-611406.442626318</v>
      </c>
      <c r="BL302" s="37" t="n">
        <f aca="false">BL298+BL301</f>
        <v>-611406.442626318</v>
      </c>
      <c r="BM302" s="37" t="n">
        <f aca="false">BM298+BM301</f>
        <v>-623534.571478844</v>
      </c>
      <c r="BN302" s="37" t="n">
        <f aca="false">BN298+BN301</f>
        <v>-623534.571478844</v>
      </c>
      <c r="BO302" s="37" t="n">
        <f aca="false">BO298+BO301</f>
        <v>-623534.571478844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-559406.262908421</v>
      </c>
      <c r="CK302" s="37" t="n">
        <f aca="false">CK298+CK301</f>
        <v>-572024.368166589</v>
      </c>
      <c r="CL302" s="37" t="n">
        <f aca="false">CL298+CL301</f>
        <v>-572024.368166589</v>
      </c>
      <c r="CM302" s="37" t="n">
        <f aca="false">CM298+CM301</f>
        <v>-572024.368166589</v>
      </c>
      <c r="CN302" s="37" t="n">
        <f aca="false">CN298+CN301</f>
        <v>-572024.368166589</v>
      </c>
      <c r="CO302" s="37" t="n">
        <f aca="false">CO298+CO301</f>
        <v>-572024.368166589</v>
      </c>
      <c r="CP302" s="37" t="n">
        <f aca="false">CP298+CP301</f>
        <v>-572024.368166589</v>
      </c>
      <c r="CQ302" s="37" t="n">
        <f aca="false">CQ298+CQ301</f>
        <v>-572024.368166589</v>
      </c>
      <c r="CR302" s="37" t="n">
        <f aca="false">CR298+CR301</f>
        <v>-572024.368166589</v>
      </c>
      <c r="CS302" s="37" t="n">
        <f aca="false">CS298+CS301</f>
        <v>-572024.368166589</v>
      </c>
      <c r="CT302" s="37" t="n">
        <f aca="false">CT298+CT301</f>
        <v>-511222.239873812</v>
      </c>
      <c r="CU302" s="37" t="n">
        <f aca="false">CU298+CU301</f>
        <v>-511222.239873812</v>
      </c>
      <c r="CV302" s="37" t="n">
        <f aca="false">CV298+CV301</f>
        <v>-511222.239873812</v>
      </c>
      <c r="CW302" s="37" t="n">
        <f aca="false">CW298+CW301</f>
        <v>-522876.664671288</v>
      </c>
      <c r="CX302" s="37" t="n">
        <f aca="false">CX298+CX301</f>
        <v>-522876.664671288</v>
      </c>
      <c r="CY302" s="37" t="n">
        <f aca="false">CY298+CY301</f>
        <v>-522876.664671288</v>
      </c>
      <c r="CZ302" s="37" t="n">
        <f aca="false">CZ298+CZ301</f>
        <v>-522876.664671288</v>
      </c>
      <c r="DA302" s="37" t="n">
        <f aca="false">DA298+DA301</f>
        <v>-522876.664671288</v>
      </c>
      <c r="DB302" s="37" t="n">
        <f aca="false">DB298+DB301</f>
        <v>-522876.664671288</v>
      </c>
      <c r="DC302" s="37" t="n">
        <f aca="false">DC298+DC301</f>
        <v>-522876.664671288</v>
      </c>
      <c r="DD302" s="37" t="n">
        <f aca="false">DD298+DD301</f>
        <v>-522876.664671288</v>
      </c>
      <c r="DE302" s="37" t="n">
        <f aca="false">DE298+DE301</f>
        <v>-522876.664671288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0.302055594044094</v>
      </c>
      <c r="O303" s="33" t="n">
        <f aca="false">IFERROR(IF(OR(O298&lt;=0,O302/O298&lt;0,O302/O298&gt;1),0,O302/O298),0)</f>
        <v>0.0991045236046218</v>
      </c>
      <c r="P303" s="33" t="n">
        <f aca="false">IFERROR(IF(OR(P298&lt;=0,P302/P298&lt;0,P302/P298&gt;1),0,P302/P298),0)</f>
        <v>0.253433660906827</v>
      </c>
      <c r="Q303" s="33" t="n">
        <f aca="false">IFERROR(IF(OR(Q298&lt;=0,Q302/Q298&lt;0,Q302/Q298&gt;1),0,Q302/Q298),0)</f>
        <v>0.190267037956873</v>
      </c>
      <c r="R303" s="33" t="n">
        <f aca="false">IFERROR(IF(OR(R298&lt;=0,R302/R298&lt;0,R302/R298&gt;1),0,R302/R298),0)</f>
        <v>0.132994030143735</v>
      </c>
      <c r="S303" s="33" t="n">
        <f aca="false">IFERROR(IF(OR(S298&lt;=0,S302/S298&lt;0,S302/S298&gt;1),0,S302/S298),0)</f>
        <v>0.117114728774825</v>
      </c>
      <c r="T303" s="33" t="n">
        <f aca="false">IFERROR(IF(OR(T298&lt;=0,T302/T298&lt;0,T302/T298&gt;1),0,T302/T298),0)</f>
        <v>0.172009984545921</v>
      </c>
      <c r="U303" s="33" t="n">
        <f aca="false">IFERROR(IF(OR(U298&lt;=0,U302/U298&lt;0,U302/U298&gt;1),0,U302/U298),0)</f>
        <v>0.0528749563479462</v>
      </c>
      <c r="V303" s="33" t="n">
        <f aca="false">IFERROR(IF(OR(V298&lt;=0,V302/V298&lt;0,V302/V298&gt;1),0,V302/V298),0)</f>
        <v>0.150218358759576</v>
      </c>
      <c r="W303" s="33" t="n">
        <f aca="false">IFERROR(IF(OR(W298&lt;=0,W302/W298&lt;0,W302/W298&gt;1),0,W302/W298),0)</f>
        <v>0.0328368540489504</v>
      </c>
      <c r="X303" s="33" t="n">
        <f aca="false">IFERROR(IF(OR(X298&lt;=0,X302/X298&lt;0,X302/X298&gt;1),0,X302/X298),0)</f>
        <v>0.227547797205422</v>
      </c>
      <c r="Y303" s="33" t="n">
        <f aca="false">IFERROR(IF(OR(Y298&lt;=0,Y302/Y298&lt;0,Y302/Y298&gt;1),0,Y302/Y298),0)</f>
        <v>0.123638022170005</v>
      </c>
      <c r="Z303" s="33" t="n">
        <f aca="false">IFERROR(IF(OR(Z298&lt;=0,Z302/Z298&lt;0,Z302/Z298&gt;1),0,Z302/Z298),0)</f>
        <v>0.207297636564891</v>
      </c>
      <c r="AA303" s="33" t="n">
        <f aca="false">IFERROR(IF(OR(AA298&lt;=0,AA302/AA298&lt;0,AA302/AA298&gt;1),0,AA302/AA298),0)</f>
        <v>0.272021658474755</v>
      </c>
      <c r="AB303" s="33" t="n">
        <f aca="false">IFERROR(IF(OR(AB298&lt;=0,AB302/AB298&lt;0,AB302/AB298&gt;1),0,AB302/AB298),0)</f>
        <v>0.146580848797966</v>
      </c>
      <c r="AC303" s="33" t="n">
        <f aca="false">IFERROR(IF(OR(AC298&lt;=0,AC302/AC298&lt;0,AC302/AC298&gt;1),0,AC302/AC298),0)</f>
        <v>0</v>
      </c>
      <c r="AD303" s="33" t="n">
        <f aca="false">IFERROR(IF(OR(AD298&lt;=0,AD302/AD298&lt;0,AD302/AD298&gt;1),0,AD302/AD298),0)</f>
        <v>0</v>
      </c>
      <c r="AE303" s="33" t="n">
        <f aca="false">IFERROR(IF(OR(AE298&lt;=0,AE302/AE298&lt;0,AE302/AE298&gt;1),0,AE302/AE298),0)</f>
        <v>0</v>
      </c>
      <c r="AF303" s="33" t="n">
        <f aca="false">IFERROR(IF(OR(AF298&lt;=0,AF302/AF298&lt;0,AF302/AF298&gt;1),0,AF302/AF298),0)</f>
        <v>0.0514748117829082</v>
      </c>
      <c r="AG303" s="33" t="n">
        <f aca="false">IFERROR(IF(OR(AG298&lt;=0,AG302/AG298&lt;0,AG302/AG298&gt;1),0,AG302/AG298),0)</f>
        <v>0</v>
      </c>
      <c r="AH303" s="33" t="n">
        <f aca="false">IFERROR(IF(OR(AH298&lt;=0,AH302/AH298&lt;0,AH302/AH298&gt;1),0,AH302/AH298),0)</f>
        <v>0</v>
      </c>
      <c r="AI303" s="33" t="n">
        <f aca="false">IFERROR(IF(OR(AI298&lt;=0,AI302/AI298&lt;0,AI302/AI298&gt;1),0,AI302/AI298),0)</f>
        <v>0</v>
      </c>
      <c r="AJ303" s="33" t="n">
        <f aca="false">IFERROR(IF(OR(AJ298&lt;=0,AJ302/AJ298&lt;0,AJ302/AJ298&gt;1),0,AJ302/AJ298),0)</f>
        <v>0</v>
      </c>
      <c r="AK303" s="33" t="n">
        <f aca="false">IFERROR(IF(OR(AK298&lt;=0,AK302/AK298&lt;0,AK302/AK298&gt;1),0,AK302/AK298),0)</f>
        <v>0</v>
      </c>
      <c r="AL303" s="33" t="n">
        <f aca="false">IFERROR(IF(OR(AL298&lt;=0,AL302/AL298&lt;0,AL302/AL298&gt;1),0,AL302/AL298),0)</f>
        <v>0</v>
      </c>
      <c r="AM303" s="33" t="n">
        <f aca="false">IFERROR(IF(OR(AM298&lt;=0,AM302/AM298&lt;0,AM302/AM298&gt;1),0,AM302/AM298),0)</f>
        <v>0</v>
      </c>
      <c r="AN303" s="33" t="n">
        <f aca="false">IFERROR(IF(OR(AN298&lt;=0,AN302/AN298&lt;0,AN302/AN298&gt;1),0,AN302/AN298),0)</f>
        <v>0</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293030.42</v>
      </c>
      <c r="O305" s="13" t="n">
        <f aca="false">ROUND(O302-(Budget!P57+Budget!P114),2)</f>
        <v>87105.08</v>
      </c>
      <c r="P305" s="13" t="n">
        <f aca="false">ROUND(P302-(Budget!Q57+Budget!Q114),2)</f>
        <v>228152.34</v>
      </c>
      <c r="Q305" s="13" t="n">
        <f aca="false">ROUND(Q302-(Budget!R57+Budget!R114),2)</f>
        <v>161059.96</v>
      </c>
      <c r="R305" s="13" t="n">
        <f aca="false">ROUND(R302-(Budget!S57+Budget!S114),2)</f>
        <v>105141.92</v>
      </c>
      <c r="S305" s="13" t="n">
        <f aca="false">ROUND(S302-(Budget!T57+Budget!T114),2)</f>
        <v>90922.86</v>
      </c>
      <c r="T305" s="13" t="n">
        <f aca="false">ROUND(T302-(Budget!U57+Budget!U114),2)</f>
        <v>142394.89</v>
      </c>
      <c r="U305" s="13" t="n">
        <f aca="false">ROUND(U302-(Budget!V57+Budget!V114),2)</f>
        <v>38265.6</v>
      </c>
      <c r="V305" s="13" t="n">
        <f aca="false">ROUND(V302-(Budget!W57+Budget!W114),2)</f>
        <v>120517.04</v>
      </c>
      <c r="W305" s="13" t="n">
        <f aca="false">ROUND(W302-(Budget!X57+Budget!X114),2)</f>
        <v>22676.89</v>
      </c>
      <c r="X305" s="13" t="n">
        <f aca="false">ROUND(X302-(Budget!Y57+Budget!Y114),2)</f>
        <v>196753.63</v>
      </c>
      <c r="Y305" s="13" t="n">
        <f aca="false">ROUND(Y302-(Budget!Z57+Budget!Z114),2)</f>
        <v>93999.97</v>
      </c>
      <c r="Z305" s="13" t="n">
        <f aca="false">ROUND(Z302-(Budget!AA57+Budget!AA114),2)</f>
        <v>170414.79</v>
      </c>
      <c r="AA305" s="13" t="n">
        <f aca="false">ROUND(AA302-(Budget!AB57+Budget!AB114),2)</f>
        <v>231576.52</v>
      </c>
      <c r="AB305" s="13" t="n">
        <f aca="false">ROUND(AB302-(Budget!AC57+Budget!AC114),2)</f>
        <v>105884.11</v>
      </c>
      <c r="AC305" s="13" t="n">
        <f aca="false">ROUND(AC302-(Budget!AD57+Budget!AD114),2)</f>
        <v>-173522.73</v>
      </c>
      <c r="AD305" s="13" t="n">
        <f aca="false">ROUND(AD302-(Budget!AE57+Budget!AE114),2)</f>
        <v>-128649.74</v>
      </c>
      <c r="AE305" s="13" t="n">
        <f aca="false">ROUND(AE302-(Budget!AF57+Budget!AF114),2)</f>
        <v>-80342.73</v>
      </c>
      <c r="AF305" s="13" t="n">
        <f aca="false">ROUND(AF302-(Budget!AG57+Budget!AG114),2)</f>
        <v>31902.08</v>
      </c>
      <c r="AG305" s="13" t="n">
        <f aca="false">ROUND(AG302-(Budget!AH57+Budget!AH114),2)</f>
        <v>-61158.72</v>
      </c>
      <c r="AH305" s="13" t="n">
        <f aca="false">ROUND(AH302-(Budget!AI57+Budget!AI114),2)</f>
        <v>-201009.94</v>
      </c>
      <c r="AI305" s="13" t="n">
        <f aca="false">ROUND(AI302-(Budget!AJ57+Budget!AJ114),2)</f>
        <v>-216676.81</v>
      </c>
      <c r="AJ305" s="13" t="n">
        <f aca="false">ROUND(AJ302-(Budget!AK57+Budget!AK114),2)</f>
        <v>-211305.71</v>
      </c>
      <c r="AK305" s="13" t="n">
        <f aca="false">ROUND(AK302-(Budget!AL57+Budget!AL114),2)</f>
        <v>-465640.13</v>
      </c>
      <c r="AL305" s="13" t="n">
        <f aca="false">ROUND(AL302-(Budget!AM57+Budget!AM114),2)</f>
        <v>-451330.06</v>
      </c>
      <c r="AM305" s="13" t="n">
        <f aca="false">ROUND(AM302-(Budget!AN57+Budget!AN114),2)</f>
        <v>-439448.28</v>
      </c>
      <c r="AN305" s="13" t="n">
        <f aca="false">ROUND(AN302-(Budget!AO57+Budget!AO114),2)</f>
        <v>-547930.33</v>
      </c>
      <c r="AO305" s="13" t="n">
        <f aca="false">ROUND(AO302-(Budget!AP57+Budget!AP114),2)</f>
        <v>-599516.12</v>
      </c>
      <c r="AP305" s="13" t="n">
        <f aca="false">ROUND(AP302-(Budget!AQ57+Budget!AQ114),2)</f>
        <v>-599516.12</v>
      </c>
      <c r="AQ305" s="13" t="n">
        <f aca="false">ROUND(AQ302-(Budget!AR57+Budget!AR114),2)</f>
        <v>-599516.12</v>
      </c>
      <c r="AR305" s="13" t="n">
        <f aca="false">ROUND(AR302-(Budget!AS57+Budget!AS114),2)</f>
        <v>-599516.12</v>
      </c>
      <c r="AS305" s="13" t="n">
        <f aca="false">ROUND(AS302-(Budget!AT57+Budget!AT114),2)</f>
        <v>-599516.12</v>
      </c>
      <c r="AT305" s="13" t="n">
        <f aca="false">ROUND(AT302-(Budget!AU57+Budget!AU114),2)</f>
        <v>-599516.12</v>
      </c>
      <c r="AU305" s="13" t="n">
        <f aca="false">ROUND(AU302-(Budget!AV57+Budget!AV114),2)</f>
        <v>-599516.12</v>
      </c>
      <c r="AV305" s="13" t="n">
        <f aca="false">ROUND(AV302-(Budget!AW57+Budget!AW114),2)</f>
        <v>-599516.12</v>
      </c>
      <c r="AW305" s="13" t="n">
        <f aca="false">ROUND(AW302-(Budget!AX57+Budget!AX114),2)</f>
        <v>-599516.12</v>
      </c>
      <c r="AX305" s="13" t="n">
        <f aca="false">ROUND(AX302-(Budget!AY57+Budget!AY114),2)</f>
        <v>-599516.12</v>
      </c>
      <c r="AY305" s="13" t="n">
        <f aca="false">ROUND(AY302-(Budget!AZ57+Budget!AZ114),2)</f>
        <v>-599516.12</v>
      </c>
      <c r="AZ305" s="13" t="n">
        <f aca="false">ROUND(AZ302-(Budget!BA57+Budget!BA114),2)</f>
        <v>-599516.12</v>
      </c>
      <c r="BA305" s="13" t="n">
        <f aca="false">ROUND(BA302-(Budget!BB57+Budget!BB114),2)</f>
        <v>-611406.44</v>
      </c>
      <c r="BB305" s="13" t="n">
        <f aca="false">ROUND(BB302-(Budget!BC57+Budget!BC114),2)</f>
        <v>-611406.44</v>
      </c>
      <c r="BC305" s="13" t="n">
        <f aca="false">ROUND(BC302-(Budget!BD57+Budget!BD114),2)</f>
        <v>-611406.44</v>
      </c>
      <c r="BD305" s="13" t="n">
        <f aca="false">ROUND(BD302-(Budget!BE57+Budget!BE114),2)</f>
        <v>-611406.44</v>
      </c>
      <c r="BE305" s="13" t="n">
        <f aca="false">ROUND(BE302-(Budget!BF57+Budget!BF114),2)</f>
        <v>-611406.44</v>
      </c>
      <c r="BF305" s="13" t="n">
        <f aca="false">ROUND(BF302-(Budget!BG57+Budget!BG114),2)</f>
        <v>-611406.44</v>
      </c>
      <c r="BG305" s="13" t="n">
        <f aca="false">ROUND(BG302-(Budget!BH57+Budget!BH114),2)</f>
        <v>-611406.44</v>
      </c>
      <c r="BH305" s="13" t="n">
        <f aca="false">ROUND(BH302-(Budget!BI57+Budget!BI114),2)</f>
        <v>-611406.44</v>
      </c>
      <c r="BI305" s="13" t="n">
        <f aca="false">ROUND(BI302-(Budget!BJ57+Budget!BJ114),2)</f>
        <v>-611406.44</v>
      </c>
      <c r="BJ305" s="13" t="n">
        <f aca="false">ROUND(BJ302-(Budget!BK57+Budget!BK114),2)</f>
        <v>-611406.44</v>
      </c>
      <c r="BK305" s="13" t="n">
        <f aca="false">ROUND(BK302-(Budget!BL57+Budget!BL114),2)</f>
        <v>-611406.44</v>
      </c>
      <c r="BL305" s="13" t="n">
        <f aca="false">ROUND(BL302-(Budget!BM57+Budget!BM114),2)</f>
        <v>-611406.44</v>
      </c>
      <c r="BM305" s="13" t="n">
        <f aca="false">ROUND(BM302-(Budget!BN57+Budget!BN114),2)</f>
        <v>-623534.57</v>
      </c>
      <c r="BN305" s="13" t="n">
        <f aca="false">ROUND(BN302-(Budget!BO57+Budget!BO114),2)</f>
        <v>-623534.57</v>
      </c>
      <c r="BO305" s="13" t="n">
        <f aca="false">ROUND(BO302-(Budget!BP57+Budget!BP114),2)</f>
        <v>-623534.57</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-559406.26</v>
      </c>
      <c r="CK305" s="13" t="n">
        <f aca="false">ROUND(CK302-(Budget!CL57+Budget!CL114),2)</f>
        <v>-572024.37</v>
      </c>
      <c r="CL305" s="13" t="n">
        <f aca="false">ROUND(CL302-(Budget!CM57+Budget!CM114),2)</f>
        <v>-572024.37</v>
      </c>
      <c r="CM305" s="13" t="n">
        <f aca="false">ROUND(CM302-(Budget!CN57+Budget!CN114),2)</f>
        <v>-572024.37</v>
      </c>
      <c r="CN305" s="13" t="n">
        <f aca="false">ROUND(CN302-(Budget!CO57+Budget!CO114),2)</f>
        <v>-572024.37</v>
      </c>
      <c r="CO305" s="13" t="n">
        <f aca="false">ROUND(CO302-(Budget!CP57+Budget!CP114),2)</f>
        <v>-572024.37</v>
      </c>
      <c r="CP305" s="13" t="n">
        <f aca="false">ROUND(CP302-(Budget!CQ57+Budget!CQ114),2)</f>
        <v>-572024.37</v>
      </c>
      <c r="CQ305" s="13" t="n">
        <f aca="false">ROUND(CQ302-(Budget!CR57+Budget!CR114),2)</f>
        <v>-572024.37</v>
      </c>
      <c r="CR305" s="13" t="n">
        <f aca="false">ROUND(CR302-(Budget!CS57+Budget!CS114),2)</f>
        <v>-572024.37</v>
      </c>
      <c r="CS305" s="13" t="n">
        <f aca="false">ROUND(CS302-(Budget!CT57+Budget!CT114),2)</f>
        <v>-572024.37</v>
      </c>
      <c r="CT305" s="13" t="n">
        <f aca="false">ROUND(CT302-(Budget!CU57+Budget!CU114),2)</f>
        <v>-511222.24</v>
      </c>
      <c r="CU305" s="13" t="n">
        <f aca="false">ROUND(CU302-(Budget!CV57+Budget!CV114),2)</f>
        <v>-511222.24</v>
      </c>
      <c r="CV305" s="13" t="n">
        <f aca="false">ROUND(CV302-(Budget!CW57+Budget!CW114),2)</f>
        <v>-511222.24</v>
      </c>
      <c r="CW305" s="13" t="n">
        <f aca="false">ROUND(CW302-(Budget!CX57+Budget!CX114),2)</f>
        <v>-522876.66</v>
      </c>
      <c r="CX305" s="13" t="n">
        <f aca="false">ROUND(CX302-(Budget!CY57+Budget!CY114),2)</f>
        <v>-522876.66</v>
      </c>
      <c r="CY305" s="13" t="n">
        <f aca="false">ROUND(CY302-(Budget!CZ57+Budget!CZ114),2)</f>
        <v>-522876.66</v>
      </c>
      <c r="CZ305" s="13" t="n">
        <f aca="false">ROUND(CZ302-(Budget!DA57+Budget!DA114),2)</f>
        <v>-522876.66</v>
      </c>
      <c r="DA305" s="13" t="n">
        <f aca="false">ROUND(DA302-(Budget!DB57+Budget!DB114),2)</f>
        <v>-522876.66</v>
      </c>
      <c r="DB305" s="13" t="n">
        <f aca="false">ROUND(DB302-(Budget!DC57+Budget!DC114),2)</f>
        <v>-522876.66</v>
      </c>
      <c r="DC305" s="13" t="n">
        <f aca="false">ROUND(DC302-(Budget!DD57+Budget!DD114),2)</f>
        <v>-522876.66</v>
      </c>
      <c r="DD305" s="13" t="n">
        <f aca="false">ROUND(DD302-(Budget!DE57+Budget!DE114),2)</f>
        <v>-522876.66</v>
      </c>
      <c r="DE305" s="13" t="n">
        <f aca="false">ROUND(DE302-(Budget!DF57+Budget!DF114),2)</f>
        <v>-522876.66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750000</v>
      </c>
      <c r="AO315" s="13" t="n">
        <f aca="false">AN317</f>
        <v>750000</v>
      </c>
      <c r="AP315" s="13" t="n">
        <f aca="false">AO317</f>
        <v>750000</v>
      </c>
      <c r="AQ315" s="13" t="n">
        <f aca="false">AP317</f>
        <v>750000</v>
      </c>
      <c r="AR315" s="13" t="n">
        <f aca="false">AQ317</f>
        <v>750000</v>
      </c>
      <c r="AS315" s="13" t="n">
        <f aca="false">AR317</f>
        <v>750000</v>
      </c>
      <c r="AT315" s="13" t="n">
        <f aca="false">AS317</f>
        <v>750000</v>
      </c>
      <c r="AU315" s="13" t="n">
        <f aca="false">AT317</f>
        <v>750000</v>
      </c>
      <c r="AV315" s="13" t="n">
        <f aca="false">AU317</f>
        <v>750000</v>
      </c>
      <c r="AW315" s="13" t="n">
        <f aca="false">AV317</f>
        <v>750000</v>
      </c>
      <c r="AX315" s="13" t="n">
        <f aca="false">AW317</f>
        <v>750000</v>
      </c>
      <c r="AY315" s="13" t="n">
        <f aca="false">AX317</f>
        <v>750000</v>
      </c>
      <c r="AZ315" s="13" t="n">
        <f aca="false">AY317</f>
        <v>750000</v>
      </c>
      <c r="BA315" s="13" t="n">
        <f aca="false">AZ317</f>
        <v>750000</v>
      </c>
      <c r="BB315" s="13" t="n">
        <f aca="false">BA317</f>
        <v>750000</v>
      </c>
      <c r="BC315" s="13" t="n">
        <f aca="false">BB317</f>
        <v>750000</v>
      </c>
      <c r="BD315" s="13" t="n">
        <f aca="false">BC317</f>
        <v>750000</v>
      </c>
      <c r="BE315" s="13" t="n">
        <f aca="false">BD317</f>
        <v>750000</v>
      </c>
      <c r="BF315" s="13" t="n">
        <f aca="false">BE317</f>
        <v>750000</v>
      </c>
      <c r="BG315" s="13" t="n">
        <f aca="false">BF317</f>
        <v>750000</v>
      </c>
      <c r="BH315" s="13" t="n">
        <f aca="false">BG317</f>
        <v>750000</v>
      </c>
      <c r="BI315" s="13" t="n">
        <f aca="false">BH317</f>
        <v>750000</v>
      </c>
      <c r="BJ315" s="13" t="n">
        <f aca="false">BI317</f>
        <v>750000</v>
      </c>
      <c r="BK315" s="13" t="n">
        <f aca="false">BJ317</f>
        <v>750000</v>
      </c>
      <c r="BL315" s="13" t="n">
        <f aca="false">BK317</f>
        <v>750000</v>
      </c>
      <c r="BM315" s="13" t="n">
        <f aca="false">BL317</f>
        <v>750000</v>
      </c>
      <c r="BN315" s="13" t="n">
        <f aca="false">BM317</f>
        <v>750000</v>
      </c>
      <c r="BO315" s="13" t="n">
        <f aca="false">BN317</f>
        <v>750000</v>
      </c>
      <c r="BP315" s="13" t="n">
        <f aca="false">BO317</f>
        <v>750000</v>
      </c>
      <c r="BQ315" s="13" t="n">
        <f aca="false">BP317</f>
        <v>750000</v>
      </c>
      <c r="BR315" s="13" t="n">
        <f aca="false">BQ317</f>
        <v>750000</v>
      </c>
      <c r="BS315" s="13" t="n">
        <f aca="false">BR317</f>
        <v>750000</v>
      </c>
      <c r="BT315" s="13" t="n">
        <f aca="false">BS317</f>
        <v>750000</v>
      </c>
      <c r="BU315" s="13" t="n">
        <f aca="false">BT317</f>
        <v>750000</v>
      </c>
      <c r="BV315" s="13" t="n">
        <f aca="false">BU317</f>
        <v>750000</v>
      </c>
      <c r="BW315" s="13" t="n">
        <f aca="false">BV317</f>
        <v>750000</v>
      </c>
      <c r="BX315" s="13" t="n">
        <f aca="false">BW317</f>
        <v>750000</v>
      </c>
      <c r="BY315" s="13" t="n">
        <f aca="false">BX317</f>
        <v>750000</v>
      </c>
      <c r="BZ315" s="13" t="n">
        <f aca="false">BY317</f>
        <v>750000</v>
      </c>
      <c r="CA315" s="13" t="n">
        <f aca="false">BZ317</f>
        <v>750000</v>
      </c>
      <c r="CB315" s="13" t="n">
        <f aca="false">CA317</f>
        <v>750000</v>
      </c>
      <c r="CC315" s="13" t="n">
        <f aca="false">CB317</f>
        <v>750000</v>
      </c>
      <c r="CD315" s="13" t="n">
        <f aca="false">CC317</f>
        <v>750000</v>
      </c>
      <c r="CE315" s="13" t="n">
        <f aca="false">CD317</f>
        <v>750000</v>
      </c>
      <c r="CF315" s="13" t="n">
        <f aca="false">CE317</f>
        <v>750000</v>
      </c>
      <c r="CG315" s="13" t="n">
        <f aca="false">CF317</f>
        <v>750000</v>
      </c>
      <c r="CH315" s="13" t="n">
        <f aca="false">CG317</f>
        <v>750000</v>
      </c>
      <c r="CI315" s="13" t="n">
        <f aca="false">CH317</f>
        <v>750000</v>
      </c>
      <c r="CJ315" s="13" t="n">
        <f aca="false">CI317</f>
        <v>750000</v>
      </c>
      <c r="CK315" s="13" t="n">
        <f aca="false">CJ317</f>
        <v>750000</v>
      </c>
      <c r="CL315" s="13" t="n">
        <f aca="false">CK317</f>
        <v>750000</v>
      </c>
      <c r="CM315" s="13" t="n">
        <f aca="false">CL317</f>
        <v>750000</v>
      </c>
      <c r="CN315" s="13" t="n">
        <f aca="false">CM317</f>
        <v>750000</v>
      </c>
      <c r="CO315" s="13" t="n">
        <f aca="false">CN317</f>
        <v>750000</v>
      </c>
      <c r="CP315" s="13" t="n">
        <f aca="false">CO317</f>
        <v>750000</v>
      </c>
      <c r="CQ315" s="13" t="n">
        <f aca="false">CP317</f>
        <v>750000</v>
      </c>
      <c r="CR315" s="13" t="n">
        <f aca="false">CQ317</f>
        <v>750000</v>
      </c>
      <c r="CS315" s="13" t="n">
        <f aca="false">CR317</f>
        <v>750000</v>
      </c>
      <c r="CT315" s="13" t="n">
        <f aca="false">CS317</f>
        <v>750000</v>
      </c>
      <c r="CU315" s="13" t="n">
        <f aca="false">CT317</f>
        <v>750000</v>
      </c>
      <c r="CV315" s="13" t="n">
        <f aca="false">CU317</f>
        <v>750000</v>
      </c>
      <c r="CW315" s="13" t="n">
        <f aca="false">CV317</f>
        <v>750000</v>
      </c>
      <c r="CX315" s="13" t="n">
        <f aca="false">CW317</f>
        <v>750000</v>
      </c>
      <c r="CY315" s="13" t="n">
        <f aca="false">CX317</f>
        <v>750000</v>
      </c>
      <c r="CZ315" s="13" t="n">
        <f aca="false">CY317</f>
        <v>750000</v>
      </c>
      <c r="DA315" s="13" t="n">
        <f aca="false">CZ317</f>
        <v>750000</v>
      </c>
      <c r="DB315" s="13" t="n">
        <f aca="false">DA317</f>
        <v>750000</v>
      </c>
      <c r="DC315" s="13" t="n">
        <f aca="false">DB317</f>
        <v>750000</v>
      </c>
      <c r="DD315" s="13" t="n">
        <f aca="false">DC317</f>
        <v>750000</v>
      </c>
      <c r="DE315" s="13" t="n">
        <f aca="false">DD317</f>
        <v>750000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750000</v>
      </c>
      <c r="AN317" s="46" t="n">
        <f aca="false">MAX(0,AN315+AN316)</f>
        <v>750000</v>
      </c>
      <c r="AO317" s="46" t="n">
        <f aca="false">MAX(0,AO315+AO316)</f>
        <v>750000</v>
      </c>
      <c r="AP317" s="46" t="n">
        <f aca="false">MAX(0,AP315+AP316)</f>
        <v>750000</v>
      </c>
      <c r="AQ317" s="46" t="n">
        <f aca="false">MAX(0,AQ315+AQ316)</f>
        <v>750000</v>
      </c>
      <c r="AR317" s="46" t="n">
        <f aca="false">MAX(0,AR315+AR316)</f>
        <v>750000</v>
      </c>
      <c r="AS317" s="46" t="n">
        <f aca="false">MAX(0,AS315+AS316)</f>
        <v>750000</v>
      </c>
      <c r="AT317" s="46" t="n">
        <f aca="false">MAX(0,AT315+AT316)</f>
        <v>750000</v>
      </c>
      <c r="AU317" s="46" t="n">
        <f aca="false">MAX(0,AU315+AU316)</f>
        <v>750000</v>
      </c>
      <c r="AV317" s="46" t="n">
        <f aca="false">MAX(0,AV315+AV316)</f>
        <v>750000</v>
      </c>
      <c r="AW317" s="46" t="n">
        <f aca="false">MAX(0,AW315+AW316)</f>
        <v>750000</v>
      </c>
      <c r="AX317" s="46" t="n">
        <f aca="false">MAX(0,AX315+AX316)</f>
        <v>750000</v>
      </c>
      <c r="AY317" s="46" t="n">
        <f aca="false">MAX(0,AY315+AY316)</f>
        <v>750000</v>
      </c>
      <c r="AZ317" s="46" t="n">
        <f aca="false">MAX(0,AZ315+AZ316)</f>
        <v>750000</v>
      </c>
      <c r="BA317" s="46" t="n">
        <f aca="false">MAX(0,BA315+BA316)</f>
        <v>750000</v>
      </c>
      <c r="BB317" s="46" t="n">
        <f aca="false">MAX(0,BB315+BB316)</f>
        <v>750000</v>
      </c>
      <c r="BC317" s="46" t="n">
        <f aca="false">MAX(0,BC315+BC316)</f>
        <v>750000</v>
      </c>
      <c r="BD317" s="46" t="n">
        <f aca="false">MAX(0,BD315+BD316)</f>
        <v>750000</v>
      </c>
      <c r="BE317" s="46" t="n">
        <f aca="false">MAX(0,BE315+BE316)</f>
        <v>750000</v>
      </c>
      <c r="BF317" s="46" t="n">
        <f aca="false">MAX(0,BF315+BF316)</f>
        <v>750000</v>
      </c>
      <c r="BG317" s="46" t="n">
        <f aca="false">MAX(0,BG315+BG316)</f>
        <v>750000</v>
      </c>
      <c r="BH317" s="46" t="n">
        <f aca="false">MAX(0,BH315+BH316)</f>
        <v>750000</v>
      </c>
      <c r="BI317" s="46" t="n">
        <f aca="false">MAX(0,BI315+BI316)</f>
        <v>750000</v>
      </c>
      <c r="BJ317" s="46" t="n">
        <f aca="false">MAX(0,BJ315+BJ316)</f>
        <v>750000</v>
      </c>
      <c r="BK317" s="46" t="n">
        <f aca="false">MAX(0,BK315+BK316)</f>
        <v>750000</v>
      </c>
      <c r="BL317" s="46" t="n">
        <f aca="false">MAX(0,BL315+BL316)</f>
        <v>750000</v>
      </c>
      <c r="BM317" s="46" t="n">
        <f aca="false">MAX(0,BM315+BM316)</f>
        <v>750000</v>
      </c>
      <c r="BN317" s="46" t="n">
        <f aca="false">MAX(0,BN315+BN316)</f>
        <v>750000</v>
      </c>
      <c r="BO317" s="46" t="n">
        <f aca="false">MAX(0,BO315+BO316)</f>
        <v>750000</v>
      </c>
      <c r="BP317" s="46" t="n">
        <f aca="false">MAX(0,BP315+BP316)</f>
        <v>750000</v>
      </c>
      <c r="BQ317" s="46" t="n">
        <f aca="false">MAX(0,BQ315+BQ316)</f>
        <v>750000</v>
      </c>
      <c r="BR317" s="46" t="n">
        <f aca="false">MAX(0,BR315+BR316)</f>
        <v>750000</v>
      </c>
      <c r="BS317" s="46" t="n">
        <f aca="false">MAX(0,BS315+BS316)</f>
        <v>750000</v>
      </c>
      <c r="BT317" s="46" t="n">
        <f aca="false">MAX(0,BT315+BT316)</f>
        <v>750000</v>
      </c>
      <c r="BU317" s="46" t="n">
        <f aca="false">MAX(0,BU315+BU316)</f>
        <v>750000</v>
      </c>
      <c r="BV317" s="46" t="n">
        <f aca="false">MAX(0,BV315+BV316)</f>
        <v>750000</v>
      </c>
      <c r="BW317" s="46" t="n">
        <f aca="false">MAX(0,BW315+BW316)</f>
        <v>750000</v>
      </c>
      <c r="BX317" s="46" t="n">
        <f aca="false">MAX(0,BX315+BX316)</f>
        <v>750000</v>
      </c>
      <c r="BY317" s="46" t="n">
        <f aca="false">MAX(0,BY315+BY316)</f>
        <v>750000</v>
      </c>
      <c r="BZ317" s="46" t="n">
        <f aca="false">MAX(0,BZ315+BZ316)</f>
        <v>750000</v>
      </c>
      <c r="CA317" s="46" t="n">
        <f aca="false">MAX(0,CA315+CA316)</f>
        <v>750000</v>
      </c>
      <c r="CB317" s="46" t="n">
        <f aca="false">MAX(0,CB315+CB316)</f>
        <v>750000</v>
      </c>
      <c r="CC317" s="46" t="n">
        <f aca="false">MAX(0,CC315+CC316)</f>
        <v>750000</v>
      </c>
      <c r="CD317" s="46" t="n">
        <f aca="false">MAX(0,CD315+CD316)</f>
        <v>750000</v>
      </c>
      <c r="CE317" s="46" t="n">
        <f aca="false">MAX(0,CE315+CE316)</f>
        <v>750000</v>
      </c>
      <c r="CF317" s="46" t="n">
        <f aca="false">MAX(0,CF315+CF316)</f>
        <v>750000</v>
      </c>
      <c r="CG317" s="46" t="n">
        <f aca="false">MAX(0,CG315+CG316)</f>
        <v>750000</v>
      </c>
      <c r="CH317" s="46" t="n">
        <f aca="false">MAX(0,CH315+CH316)</f>
        <v>750000</v>
      </c>
      <c r="CI317" s="46" t="n">
        <f aca="false">MAX(0,CI315+CI316)</f>
        <v>750000</v>
      </c>
      <c r="CJ317" s="46" t="n">
        <f aca="false">MAX(0,CJ315+CJ316)</f>
        <v>750000</v>
      </c>
      <c r="CK317" s="46" t="n">
        <f aca="false">MAX(0,CK315+CK316)</f>
        <v>750000</v>
      </c>
      <c r="CL317" s="46" t="n">
        <f aca="false">MAX(0,CL315+CL316)</f>
        <v>750000</v>
      </c>
      <c r="CM317" s="46" t="n">
        <f aca="false">MAX(0,CM315+CM316)</f>
        <v>750000</v>
      </c>
      <c r="CN317" s="46" t="n">
        <f aca="false">MAX(0,CN315+CN316)</f>
        <v>750000</v>
      </c>
      <c r="CO317" s="46" t="n">
        <f aca="false">MAX(0,CO315+CO316)</f>
        <v>750000</v>
      </c>
      <c r="CP317" s="46" t="n">
        <f aca="false">MAX(0,CP315+CP316)</f>
        <v>750000</v>
      </c>
      <c r="CQ317" s="46" t="n">
        <f aca="false">MAX(0,CQ315+CQ316)</f>
        <v>750000</v>
      </c>
      <c r="CR317" s="46" t="n">
        <f aca="false">MAX(0,CR315+CR316)</f>
        <v>750000</v>
      </c>
      <c r="CS317" s="46" t="n">
        <f aca="false">MAX(0,CS315+CS316)</f>
        <v>750000</v>
      </c>
      <c r="CT317" s="46" t="n">
        <f aca="false">MAX(0,CT315+CT316)</f>
        <v>750000</v>
      </c>
      <c r="CU317" s="46" t="n">
        <f aca="false">MAX(0,CU315+CU316)</f>
        <v>750000</v>
      </c>
      <c r="CV317" s="46" t="n">
        <f aca="false">MAX(0,CV315+CV316)</f>
        <v>750000</v>
      </c>
      <c r="CW317" s="46" t="n">
        <f aca="false">MAX(0,CW315+CW316)</f>
        <v>750000</v>
      </c>
      <c r="CX317" s="46" t="n">
        <f aca="false">MAX(0,CX315+CX316)</f>
        <v>750000</v>
      </c>
      <c r="CY317" s="46" t="n">
        <f aca="false">MAX(0,CY315+CY316)</f>
        <v>750000</v>
      </c>
      <c r="CZ317" s="46" t="n">
        <f aca="false">MAX(0,CZ315+CZ316)</f>
        <v>750000</v>
      </c>
      <c r="DA317" s="46" t="n">
        <f aca="false">MAX(0,DA315+DA316)</f>
        <v>750000</v>
      </c>
      <c r="DB317" s="46" t="n">
        <f aca="false">MAX(0,DB315+DB316)</f>
        <v>750000</v>
      </c>
      <c r="DC317" s="46" t="n">
        <f aca="false">MAX(0,DC315+DC316)</f>
        <v>750000</v>
      </c>
      <c r="DD317" s="46" t="n">
        <f aca="false">MAX(0,DD315+DD316)</f>
        <v>750000</v>
      </c>
      <c r="DE317" s="46" t="n">
        <f aca="false">MAX(0,DE315+DE316)</f>
        <v>750000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0</v>
      </c>
      <c r="F330" s="56" t="n">
        <f aca="false">E334</f>
        <v>0</v>
      </c>
      <c r="G330" s="56" t="n">
        <f aca="false">IF(Projects!$G$14="Yes",F334+Assumptions!$B$76*0.2,F334)</f>
        <v>0</v>
      </c>
      <c r="H330" s="56" t="n">
        <f aca="false">G334</f>
        <v>0</v>
      </c>
      <c r="I330" s="56" t="n">
        <f aca="false">H334</f>
        <v>0</v>
      </c>
      <c r="J330" s="56" t="n">
        <f aca="false">IF(Projects!$G$14="Yes",I334+Assumptions!$B$76*0.2,I334)</f>
        <v>0</v>
      </c>
      <c r="K330" s="56" t="n">
        <f aca="false">J334</f>
        <v>0</v>
      </c>
      <c r="L330" s="56" t="n">
        <f aca="false">K334</f>
        <v>0</v>
      </c>
      <c r="M330" s="56" t="n">
        <f aca="false">L334</f>
        <v>0</v>
      </c>
      <c r="N330" s="56" t="n">
        <f aca="false">IF(Projects!$G$14="Yes",M334+Assumptions!$B$76*0.1,M334)</f>
        <v>0</v>
      </c>
      <c r="O330" s="56" t="n">
        <f aca="false">N334</f>
        <v>0</v>
      </c>
      <c r="P330" s="56" t="n">
        <f aca="false">O334</f>
        <v>0</v>
      </c>
      <c r="Q330" s="56" t="n">
        <f aca="false">P334</f>
        <v>0</v>
      </c>
      <c r="R330" s="56" t="n">
        <f aca="false">Q334</f>
        <v>0</v>
      </c>
      <c r="S330" s="56" t="n">
        <f aca="false">IF(Projects!$G$14="Yes",R334+Assumptions!$B$76*0.1,R334)</f>
        <v>0</v>
      </c>
      <c r="T330" s="56" t="n">
        <f aca="false">S334</f>
        <v>0</v>
      </c>
      <c r="U330" s="56" t="n">
        <f aca="false">T334</f>
        <v>0</v>
      </c>
      <c r="V330" s="56" t="n">
        <f aca="false">U334</f>
        <v>0</v>
      </c>
      <c r="W330" s="56" t="n">
        <f aca="false">V334</f>
        <v>0</v>
      </c>
      <c r="X330" s="56" t="n">
        <f aca="false">W334</f>
        <v>0</v>
      </c>
      <c r="Y330" s="56" t="n">
        <f aca="false">IF(Projects!$G$14="Yes",X334+Assumptions!$B$76*0.1,X334)</f>
        <v>0</v>
      </c>
      <c r="Z330" s="56" t="n">
        <f aca="false">Y334</f>
        <v>0</v>
      </c>
      <c r="AA330" s="56" t="n">
        <f aca="false">Z334</f>
        <v>0</v>
      </c>
      <c r="AB330" s="56" t="n">
        <f aca="false">AA334</f>
        <v>0</v>
      </c>
      <c r="AC330" s="56" t="n">
        <f aca="false">AB334</f>
        <v>0</v>
      </c>
      <c r="AD330" s="56" t="n">
        <f aca="false">AC334</f>
        <v>0</v>
      </c>
      <c r="AE330" s="56" t="n">
        <f aca="false">IF(Projects!$G$14="Yes",AD334+Assumptions!$B$76,AD334)</f>
        <v>0</v>
      </c>
      <c r="AF330" s="56" t="n">
        <f aca="false">AE334</f>
        <v>0</v>
      </c>
      <c r="AG330" s="56" t="n">
        <f aca="false">AF334</f>
        <v>0</v>
      </c>
      <c r="AH330" s="56" t="n">
        <f aca="false">AG334</f>
        <v>0</v>
      </c>
      <c r="AI330" s="56" t="n">
        <f aca="false">AH334</f>
        <v>0</v>
      </c>
      <c r="AJ330" s="56" t="n">
        <f aca="false">AI334</f>
        <v>0</v>
      </c>
      <c r="AK330" s="56" t="n">
        <f aca="false">AJ334</f>
        <v>0</v>
      </c>
      <c r="AL330" s="56" t="n">
        <f aca="false">AK334</f>
        <v>0</v>
      </c>
      <c r="AM330" s="56" t="n">
        <f aca="false">AL334</f>
        <v>0</v>
      </c>
      <c r="AN330" s="56" t="n">
        <f aca="false">AM334</f>
        <v>0</v>
      </c>
      <c r="AO330" s="56" t="n">
        <f aca="false">AN334</f>
        <v>0</v>
      </c>
      <c r="AP330" s="56" t="n">
        <f aca="false">AO334</f>
        <v>0</v>
      </c>
      <c r="AQ330" s="56" t="n">
        <f aca="false">AP334</f>
        <v>0</v>
      </c>
      <c r="AR330" s="56" t="n">
        <f aca="false">AQ334</f>
        <v>0</v>
      </c>
      <c r="AS330" s="56" t="n">
        <f aca="false">AR334</f>
        <v>0</v>
      </c>
      <c r="AT330" s="56" t="n">
        <f aca="false">AS334</f>
        <v>0</v>
      </c>
      <c r="AU330" s="56" t="n">
        <f aca="false">AT334</f>
        <v>0</v>
      </c>
      <c r="AV330" s="56" t="n">
        <f aca="false">AU334</f>
        <v>0</v>
      </c>
      <c r="AW330" s="56" t="n">
        <f aca="false">AV334</f>
        <v>0</v>
      </c>
      <c r="AX330" s="56" t="n">
        <f aca="false">AW334</f>
        <v>0</v>
      </c>
      <c r="AY330" s="56" t="n">
        <f aca="false">AX334</f>
        <v>0</v>
      </c>
      <c r="AZ330" s="56" t="n">
        <f aca="false">AY334</f>
        <v>0</v>
      </c>
      <c r="BA330" s="56" t="n">
        <f aca="false">AZ334</f>
        <v>0</v>
      </c>
      <c r="BB330" s="56" t="n">
        <f aca="false">BA334</f>
        <v>0</v>
      </c>
      <c r="BC330" s="56" t="n">
        <f aca="false">BB334</f>
        <v>0</v>
      </c>
      <c r="BD330" s="56" t="n">
        <f aca="false">BC334</f>
        <v>0</v>
      </c>
      <c r="BE330" s="56" t="n">
        <f aca="false">BD334</f>
        <v>0</v>
      </c>
      <c r="BF330" s="56" t="n">
        <f aca="false">BE334</f>
        <v>0</v>
      </c>
      <c r="BG330" s="56" t="n">
        <f aca="false">BF334</f>
        <v>0</v>
      </c>
      <c r="BH330" s="56" t="n">
        <f aca="false">BG334</f>
        <v>0</v>
      </c>
      <c r="BI330" s="56" t="n">
        <f aca="false">BH334</f>
        <v>0</v>
      </c>
      <c r="BJ330" s="56" t="n">
        <f aca="false">BI334</f>
        <v>0</v>
      </c>
      <c r="BK330" s="56" t="n">
        <f aca="false">BJ334</f>
        <v>0</v>
      </c>
      <c r="BL330" s="56" t="n">
        <f aca="false">BK334</f>
        <v>0</v>
      </c>
      <c r="BM330" s="56" t="n">
        <f aca="false">BL334</f>
        <v>0</v>
      </c>
      <c r="BN330" s="56" t="n">
        <f aca="false">BM334</f>
        <v>0</v>
      </c>
      <c r="BO330" s="56" t="n">
        <f aca="false">BN334</f>
        <v>0</v>
      </c>
      <c r="BP330" s="56" t="n">
        <f aca="false">BO334</f>
        <v>0</v>
      </c>
      <c r="BQ330" s="56" t="n">
        <f aca="false">BP334</f>
        <v>0</v>
      </c>
      <c r="BR330" s="56" t="n">
        <f aca="false">BQ334</f>
        <v>0</v>
      </c>
      <c r="BS330" s="56" t="n">
        <f aca="false">BR334</f>
        <v>0</v>
      </c>
      <c r="BT330" s="56" t="n">
        <f aca="false">BS334</f>
        <v>0</v>
      </c>
      <c r="BU330" s="56" t="n">
        <f aca="false">BT334</f>
        <v>0</v>
      </c>
      <c r="BV330" s="56" t="n">
        <f aca="false">BU334</f>
        <v>0</v>
      </c>
      <c r="BW330" s="56" t="n">
        <f aca="false">BV334</f>
        <v>0</v>
      </c>
      <c r="BX330" s="56" t="n">
        <f aca="false">BW334</f>
        <v>0</v>
      </c>
      <c r="BY330" s="56" t="n">
        <f aca="false">BX334</f>
        <v>0</v>
      </c>
      <c r="BZ330" s="56" t="n">
        <f aca="false">BY334</f>
        <v>0</v>
      </c>
      <c r="CA330" s="56" t="n">
        <f aca="false">BZ334</f>
        <v>0</v>
      </c>
      <c r="CB330" s="56" t="n">
        <f aca="false">CA334</f>
        <v>0</v>
      </c>
      <c r="CC330" s="56" t="n">
        <f aca="false">CB334</f>
        <v>0</v>
      </c>
      <c r="CD330" s="56" t="n">
        <f aca="false">CC334</f>
        <v>0</v>
      </c>
      <c r="CE330" s="56" t="n">
        <f aca="false">CD334</f>
        <v>0</v>
      </c>
      <c r="CF330" s="56" t="n">
        <f aca="false">CE334</f>
        <v>0</v>
      </c>
      <c r="CG330" s="56" t="n">
        <f aca="false">CF334</f>
        <v>0</v>
      </c>
      <c r="CH330" s="56" t="n">
        <f aca="false">CG334</f>
        <v>0</v>
      </c>
      <c r="CI330" s="56" t="n">
        <f aca="false">CH334</f>
        <v>0</v>
      </c>
      <c r="CJ330" s="56" t="n">
        <f aca="false">CI334</f>
        <v>0</v>
      </c>
      <c r="CK330" s="56" t="n">
        <f aca="false">CJ334</f>
        <v>0</v>
      </c>
      <c r="CL330" s="56" t="n">
        <f aca="false">CK334</f>
        <v>0</v>
      </c>
      <c r="CM330" s="56" t="n">
        <f aca="false">CL334</f>
        <v>0</v>
      </c>
      <c r="CN330" s="56" t="n">
        <f aca="false">CM334</f>
        <v>0</v>
      </c>
      <c r="CO330" s="56" t="n">
        <f aca="false">CN334</f>
        <v>0</v>
      </c>
      <c r="CP330" s="56" t="n">
        <f aca="false">CO334</f>
        <v>0</v>
      </c>
      <c r="CQ330" s="56" t="n">
        <f aca="false">CP334</f>
        <v>0</v>
      </c>
      <c r="CR330" s="56" t="n">
        <f aca="false">CQ334</f>
        <v>0</v>
      </c>
      <c r="CS330" s="56" t="n">
        <f aca="false">CR334</f>
        <v>0</v>
      </c>
      <c r="CT330" s="56" t="n">
        <f aca="false">CS334</f>
        <v>0</v>
      </c>
      <c r="CU330" s="56" t="n">
        <f aca="false">CT334</f>
        <v>0</v>
      </c>
      <c r="CV330" s="56" t="n">
        <f aca="false">CU334</f>
        <v>0</v>
      </c>
      <c r="CW330" s="56" t="n">
        <f aca="false">CV334</f>
        <v>0</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0</v>
      </c>
      <c r="H331" s="56" t="n">
        <f aca="false">IF(AND(MOD(4,3)=0,H330&gt;0),H330*Assumptions!$B$59,0)</f>
        <v>0</v>
      </c>
      <c r="I331" s="56" t="n">
        <f aca="false">IF(AND(MOD(5,3)=0,I330&gt;0),I330*Assumptions!$B$59,0)</f>
        <v>0</v>
      </c>
      <c r="J331" s="56" t="n">
        <f aca="false">IF(AND(MOD(6,3)=0,J330&gt;0),J330*Assumptions!$B$59,0)</f>
        <v>0</v>
      </c>
      <c r="K331" s="56" t="n">
        <f aca="false">IF(AND(MOD(7,3)=0,K330&gt;0),K330*Assumptions!$B$59,0)</f>
        <v>0</v>
      </c>
      <c r="L331" s="56" t="n">
        <f aca="false">IF(AND(MOD(8,3)=0,L330&gt;0),L330*Assumptions!$B$59,0)</f>
        <v>0</v>
      </c>
      <c r="M331" s="56" t="n">
        <f aca="false">IF(AND(MOD(9,3)=0,M330&gt;0),M330*Assumptions!$B$59,0)</f>
        <v>0</v>
      </c>
      <c r="N331" s="56" t="n">
        <f aca="false">IF(AND(MOD(10,3)=0,N330&gt;0),N330*Assumptions!$B$59,0)</f>
        <v>0</v>
      </c>
      <c r="O331" s="56" t="n">
        <f aca="false">IF(AND(MOD(11,3)=0,O330&gt;0),O330*Assumptions!$B$59,0)</f>
        <v>0</v>
      </c>
      <c r="P331" s="56" t="n">
        <f aca="false">IF(AND(MOD(12,3)=0,P330&gt;0),P330*Assumptions!$B$59,0)</f>
        <v>0</v>
      </c>
      <c r="Q331" s="56" t="n">
        <f aca="false">IF(AND(MOD(13,3)=0,Q330&gt;0),Q330*Assumptions!$B$59,0)</f>
        <v>0</v>
      </c>
      <c r="R331" s="56" t="n">
        <f aca="false">IF(AND(MOD(14,3)=0,R330&gt;0),R330*Assumptions!$B$59,0)</f>
        <v>0</v>
      </c>
      <c r="S331" s="56" t="n">
        <f aca="false">IF(AND(MOD(15,3)=0,S330&gt;0),S330*Assumptions!$B$59,0)</f>
        <v>0</v>
      </c>
      <c r="T331" s="56" t="n">
        <f aca="false">IF(AND(MOD(16,3)=0,T330&gt;0),T330*Assumptions!$B$59,0)</f>
        <v>0</v>
      </c>
      <c r="U331" s="56" t="n">
        <f aca="false">IF(AND(MOD(17,3)=0,U330&gt;0),U330*Assumptions!$B$59,0)</f>
        <v>0</v>
      </c>
      <c r="V331" s="56" t="n">
        <f aca="false">IF(AND(MOD(18,3)=0,V330&gt;0),V330*Assumptions!$B$59,0)</f>
        <v>0</v>
      </c>
      <c r="W331" s="56" t="n">
        <f aca="false">IF(AND(MOD(19,3)=0,W330&gt;0),W330*Assumptions!$B$59,0)</f>
        <v>0</v>
      </c>
      <c r="X331" s="56" t="n">
        <f aca="false">IF(AND(MOD(20,3)=0,X330&gt;0),X330*Assumptions!$B$59,0)</f>
        <v>0</v>
      </c>
      <c r="Y331" s="56" t="n">
        <f aca="false">IF(AND(MOD(21,3)=0,Y330&gt;0),Y330*Assumptions!$B$59,0)</f>
        <v>0</v>
      </c>
      <c r="Z331" s="56" t="n">
        <f aca="false">IF(AND(MOD(22,3)=0,Z330&gt;0),Z330*Assumptions!$B$59,0)</f>
        <v>0</v>
      </c>
      <c r="AA331" s="56" t="n">
        <f aca="false">IF(AND(MOD(23,3)=0,AA330&gt;0),AA330*Assumptions!$B$59,0)</f>
        <v>0</v>
      </c>
      <c r="AB331" s="56" t="n">
        <f aca="false">IF(AND(MOD(24,3)=0,AB330&gt;0),AB330*Assumptions!$B$59,0)</f>
        <v>0</v>
      </c>
      <c r="AC331" s="56" t="n">
        <f aca="false">IF(AND(MOD(25,3)=0,AC330&gt;0),AC330*Assumptions!$B$59,0)</f>
        <v>0</v>
      </c>
      <c r="AD331" s="56" t="n">
        <f aca="false">IF(AND(MOD(26,3)=0,AD330&gt;0),AD330*Assumptions!$B$59,0)</f>
        <v>0</v>
      </c>
      <c r="AE331" s="56" t="n">
        <f aca="false">IF(AND(MOD(27,3)=0,AE330&gt;0),AE330*Assumptions!$B$59,0)</f>
        <v>0</v>
      </c>
      <c r="AF331" s="56" t="n">
        <f aca="false">IF(AND(MOD(28,3)=0,AF330&gt;0),AF330*Assumptions!$B$59,0)</f>
        <v>0</v>
      </c>
      <c r="AG331" s="56" t="n">
        <f aca="false">IF(AND(MOD(29,3)=0,AG330&gt;0),AG330*Assumptions!$B$59,0)</f>
        <v>0</v>
      </c>
      <c r="AH331" s="56" t="n">
        <f aca="false">IF(AND(MOD(30,3)=0,AH330&gt;0),AH330*Assumptions!$B$59,0)</f>
        <v>0</v>
      </c>
      <c r="AI331" s="56" t="n">
        <f aca="false">IF(AND(MOD(31,3)=0,AI330&gt;0),AI330*Assumptions!$B$59,0)</f>
        <v>0</v>
      </c>
      <c r="AJ331" s="56" t="n">
        <f aca="false">IF(AND(MOD(32,3)=0,AJ330&gt;0),AJ330*Assumptions!$B$59,0)</f>
        <v>0</v>
      </c>
      <c r="AK331" s="56" t="n">
        <f aca="false">IF(AND(MOD(33,3)=0,AK330&gt;0),AK330*Assumptions!$B$59,0)</f>
        <v>0</v>
      </c>
      <c r="AL331" s="56" t="n">
        <f aca="false">IF(AND(MOD(34,3)=0,AL330&gt;0),AL330*Assumptions!$B$59,0)</f>
        <v>0</v>
      </c>
      <c r="AM331" s="56" t="n">
        <f aca="false">IF(AND(MOD(35,3)=0,AM330&gt;0),AM330*Assumptions!$B$59,0)</f>
        <v>0</v>
      </c>
      <c r="AN331" s="56" t="n">
        <f aca="false">IF(AND(MOD(36,3)=0,AN330&gt;0),AN330*Assumptions!$B$59,0)</f>
        <v>0</v>
      </c>
      <c r="AO331" s="56" t="n">
        <f aca="false">IF(AND(MOD(37,3)=0,AO330&gt;0),AO330*Assumptions!$B$59,0)</f>
        <v>0</v>
      </c>
      <c r="AP331" s="56" t="n">
        <f aca="false">IF(AND(MOD(38,3)=0,AP330&gt;0),AP330*Assumptions!$B$59,0)</f>
        <v>0</v>
      </c>
      <c r="AQ331" s="56" t="n">
        <f aca="false">IF(AND(MOD(39,3)=0,AQ330&gt;0),AQ330*Assumptions!$B$59,0)</f>
        <v>0</v>
      </c>
      <c r="AR331" s="56" t="n">
        <f aca="false">IF(AND(MOD(40,3)=0,AR330&gt;0),AR330*Assumptions!$B$59,0)</f>
        <v>0</v>
      </c>
      <c r="AS331" s="56" t="n">
        <f aca="false">IF(AND(MOD(41,3)=0,AS330&gt;0),AS330*Assumptions!$B$59,0)</f>
        <v>0</v>
      </c>
      <c r="AT331" s="56" t="n">
        <f aca="false">IF(AND(MOD(42,3)=0,AT330&gt;0),AT330*Assumptions!$B$59,0)</f>
        <v>0</v>
      </c>
      <c r="AU331" s="56" t="n">
        <f aca="false">IF(AND(MOD(43,3)=0,AU330&gt;0),AU330*Assumptions!$B$59,0)</f>
        <v>0</v>
      </c>
      <c r="AV331" s="56" t="n">
        <f aca="false">IF(AND(MOD(44,3)=0,AV330&gt;0),AV330*Assumptions!$B$59,0)</f>
        <v>0</v>
      </c>
      <c r="AW331" s="56" t="n">
        <f aca="false">IF(AND(MOD(45,3)=0,AW330&gt;0),AW330*Assumptions!$B$59,0)</f>
        <v>0</v>
      </c>
      <c r="AX331" s="56" t="n">
        <f aca="false">IF(AND(MOD(46,3)=0,AX330&gt;0),AX330*Assumptions!$B$59,0)</f>
        <v>0</v>
      </c>
      <c r="AY331" s="56" t="n">
        <f aca="false">IF(AND(MOD(47,3)=0,AY330&gt;0),AY330*Assumptions!$B$59,0)</f>
        <v>0</v>
      </c>
      <c r="AZ331" s="56" t="n">
        <f aca="false">IF(AND(MOD(48,3)=0,AZ330&gt;0),AZ330*Assumptions!$B$59,0)</f>
        <v>0</v>
      </c>
      <c r="BA331" s="56" t="n">
        <f aca="false">IF(AND(MOD(49,3)=0,BA330&gt;0),BA330*Assumptions!$B$59,0)</f>
        <v>0</v>
      </c>
      <c r="BB331" s="56" t="n">
        <f aca="false">IF(AND(MOD(50,3)=0,BB330&gt;0),BB330*Assumptions!$B$59,0)</f>
        <v>0</v>
      </c>
      <c r="BC331" s="56" t="n">
        <f aca="false">IF(AND(MOD(51,3)=0,BC330&gt;0),BC330*Assumptions!$B$59,0)</f>
        <v>0</v>
      </c>
      <c r="BD331" s="56" t="n">
        <f aca="false">IF(AND(MOD(52,3)=0,BD330&gt;0),BD330*Assumptions!$B$59,0)</f>
        <v>0</v>
      </c>
      <c r="BE331" s="56" t="n">
        <f aca="false">IF(AND(MOD(53,3)=0,BE330&gt;0),BE330*Assumptions!$B$59,0)</f>
        <v>0</v>
      </c>
      <c r="BF331" s="56" t="n">
        <f aca="false">IF(AND(MOD(54,3)=0,BF330&gt;0),BF330*Assumptions!$B$59,0)</f>
        <v>0</v>
      </c>
      <c r="BG331" s="56" t="n">
        <f aca="false">IF(AND(MOD(55,3)=0,BG330&gt;0),BG330*Assumptions!$B$59,0)</f>
        <v>0</v>
      </c>
      <c r="BH331" s="56" t="n">
        <f aca="false">IF(AND(MOD(56,3)=0,BH330&gt;0),BH330*Assumptions!$B$59,0)</f>
        <v>0</v>
      </c>
      <c r="BI331" s="56" t="n">
        <f aca="false">IF(AND(MOD(57,3)=0,BI330&gt;0),BI330*Assumptions!$B$59,0)</f>
        <v>0</v>
      </c>
      <c r="BJ331" s="56" t="n">
        <f aca="false">IF(AND(MOD(58,3)=0,BJ330&gt;0),BJ330*Assumptions!$B$59,0)</f>
        <v>0</v>
      </c>
      <c r="BK331" s="56" t="n">
        <f aca="false">IF(AND(MOD(59,3)=0,BK330&gt;0),BK330*Assumptions!$B$59,0)</f>
        <v>0</v>
      </c>
      <c r="BL331" s="56" t="n">
        <f aca="false">IF(AND(MOD(60,3)=0,BL330&gt;0),BL330*Assumptions!$B$59,0)</f>
        <v>0</v>
      </c>
      <c r="BM331" s="56" t="n">
        <f aca="false">IF(AND(MOD(61,3)=0,BM330&gt;0),BM330*Assumptions!$B$59,0)</f>
        <v>0</v>
      </c>
      <c r="BN331" s="56" t="n">
        <f aca="false">IF(AND(MOD(62,3)=0,BN330&gt;0),BN330*Assumptions!$B$59,0)</f>
        <v>0</v>
      </c>
      <c r="BO331" s="56" t="n">
        <f aca="false">IF(AND(MOD(63,3)=0,BO330&gt;0),BO330*Assumptions!$B$59,0)</f>
        <v>0</v>
      </c>
      <c r="BP331" s="56" t="n">
        <f aca="false">IF(AND(MOD(64,3)=0,BP330&gt;0),BP330*Assumptions!$B$59,0)</f>
        <v>0</v>
      </c>
      <c r="BQ331" s="56" t="n">
        <f aca="false">IF(AND(MOD(65,3)=0,BQ330&gt;0),BQ330*Assumptions!$B$59,0)</f>
        <v>0</v>
      </c>
      <c r="BR331" s="56" t="n">
        <f aca="false">IF(AND(MOD(66,3)=0,BR330&gt;0),BR330*Assumptions!$B$59,0)</f>
        <v>0</v>
      </c>
      <c r="BS331" s="56" t="n">
        <f aca="false">IF(AND(MOD(67,3)=0,BS330&gt;0),BS330*Assumptions!$B$59,0)</f>
        <v>0</v>
      </c>
      <c r="BT331" s="56" t="n">
        <f aca="false">IF(AND(MOD(68,3)=0,BT330&gt;0),BT330*Assumptions!$B$59,0)</f>
        <v>0</v>
      </c>
      <c r="BU331" s="56" t="n">
        <f aca="false">IF(AND(MOD(69,3)=0,BU330&gt;0),BU330*Assumptions!$B$59,0)</f>
        <v>0</v>
      </c>
      <c r="BV331" s="56" t="n">
        <f aca="false">IF(AND(MOD(70,3)=0,BV330&gt;0),BV330*Assumptions!$B$59,0)</f>
        <v>0</v>
      </c>
      <c r="BW331" s="56" t="n">
        <f aca="false">IF(AND(MOD(71,3)=0,BW330&gt;0),BW330*Assumptions!$B$59,0)</f>
        <v>0</v>
      </c>
      <c r="BX331" s="56" t="n">
        <f aca="false">IF(AND(MOD(72,3)=0,BX330&gt;0),BX330*Assumptions!$B$59,0)</f>
        <v>0</v>
      </c>
      <c r="BY331" s="56" t="n">
        <f aca="false">IF(AND(MOD(73,3)=0,BY330&gt;0),BY330*Assumptions!$B$59,0)</f>
        <v>0</v>
      </c>
      <c r="BZ331" s="56" t="n">
        <f aca="false">IF(AND(MOD(74,3)=0,BZ330&gt;0),BZ330*Assumptions!$B$59,0)</f>
        <v>0</v>
      </c>
      <c r="CA331" s="56" t="n">
        <f aca="false">IF(AND(MOD(75,3)=0,CA330&gt;0),CA330*Assumptions!$B$59,0)</f>
        <v>0</v>
      </c>
      <c r="CB331" s="56" t="n">
        <f aca="false">IF(AND(MOD(76,3)=0,CB330&gt;0),CB330*Assumptions!$B$59,0)</f>
        <v>0</v>
      </c>
      <c r="CC331" s="56" t="n">
        <f aca="false">IF(AND(MOD(77,3)=0,CC330&gt;0),CC330*Assumptions!$B$59,0)</f>
        <v>0</v>
      </c>
      <c r="CD331" s="56" t="n">
        <f aca="false">IF(AND(MOD(78,3)=0,CD330&gt;0),CD330*Assumptions!$B$59,0)</f>
        <v>0</v>
      </c>
      <c r="CE331" s="56" t="n">
        <f aca="false">IF(AND(MOD(79,3)=0,CE330&gt;0),CE330*Assumptions!$B$59,0)</f>
        <v>0</v>
      </c>
      <c r="CF331" s="56" t="n">
        <f aca="false">IF(AND(MOD(80,3)=0,CF330&gt;0),CF330*Assumptions!$B$59,0)</f>
        <v>0</v>
      </c>
      <c r="CG331" s="56" t="n">
        <f aca="false">IF(AND(MOD(81,3)=0,CG330&gt;0),CG330*Assumptions!$B$59,0)</f>
        <v>0</v>
      </c>
      <c r="CH331" s="56" t="n">
        <f aca="false">IF(AND(MOD(82,3)=0,CH330&gt;0),CH330*Assumptions!$B$59,0)</f>
        <v>0</v>
      </c>
      <c r="CI331" s="56" t="n">
        <f aca="false">IF(AND(MOD(83,3)=0,CI330&gt;0),CI330*Assumptions!$B$59,0)</f>
        <v>0</v>
      </c>
      <c r="CJ331" s="56" t="n">
        <f aca="false">IF(AND(MOD(84,3)=0,CJ330&gt;0),CJ330*Assumptions!$B$59,0)</f>
        <v>0</v>
      </c>
      <c r="CK331" s="56" t="n">
        <f aca="false">IF(AND(MOD(85,3)=0,CK330&gt;0),CK330*Assumptions!$B$59,0)</f>
        <v>0</v>
      </c>
      <c r="CL331" s="56" t="n">
        <f aca="false">IF(AND(MOD(86,3)=0,CL330&gt;0),CL330*Assumptions!$B$59,0)</f>
        <v>0</v>
      </c>
      <c r="CM331" s="56" t="n">
        <f aca="false">IF(AND(MOD(87,3)=0,CM330&gt;0),CM330*Assumptions!$B$59,0)</f>
        <v>0</v>
      </c>
      <c r="CN331" s="56" t="n">
        <f aca="false">IF(AND(MOD(88,3)=0,CN330&gt;0),CN330*Assumptions!$B$59,0)</f>
        <v>0</v>
      </c>
      <c r="CO331" s="56" t="n">
        <f aca="false">IF(AND(MOD(89,3)=0,CO330&gt;0),CO330*Assumptions!$B$59,0)</f>
        <v>0</v>
      </c>
      <c r="CP331" s="56" t="n">
        <f aca="false">IF(AND(MOD(90,3)=0,CP330&gt;0),CP330*Assumptions!$B$59,0)</f>
        <v>0</v>
      </c>
      <c r="CQ331" s="56" t="n">
        <f aca="false">IF(AND(MOD(91,3)=0,CQ330&gt;0),CQ330*Assumptions!$B$59,0)</f>
        <v>0</v>
      </c>
      <c r="CR331" s="56" t="n">
        <f aca="false">IF(AND(MOD(92,3)=0,CR330&gt;0),CR330*Assumptions!$B$59,0)</f>
        <v>0</v>
      </c>
      <c r="CS331" s="56" t="n">
        <f aca="false">IF(AND(MOD(93,3)=0,CS330&gt;0),CS330*Assumptions!$B$59,0)</f>
        <v>0</v>
      </c>
      <c r="CT331" s="56" t="n">
        <f aca="false">IF(AND(MOD(94,3)=0,CT330&gt;0),CT330*Assumptions!$B$59,0)</f>
        <v>0</v>
      </c>
      <c r="CU331" s="56" t="n">
        <f aca="false">IF(AND(MOD(95,3)=0,CU330&gt;0),CU330*Assumptions!$B$59,0)</f>
        <v>0</v>
      </c>
      <c r="CV331" s="56" t="n">
        <f aca="false">IF(AND(MOD(96,3)=0,CV330&gt;0),CV330*Assumptions!$B$59,0)</f>
        <v>0</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-0</v>
      </c>
      <c r="CO333" s="58" t="n">
        <f aca="false">-MIN(CO330+CO331+CO332,MAX(0,CO256-Helpers!CM26))</f>
        <v>-0</v>
      </c>
      <c r="CP333" s="58" t="n">
        <f aca="false">-MIN(CP330+CP331+CP332,MAX(0,CP256-Helpers!CN26))</f>
        <v>-0</v>
      </c>
      <c r="CQ333" s="58" t="n">
        <f aca="false">-MIN(CQ330+CQ331+CQ332,MAX(0,CQ256-Helpers!CO26))</f>
        <v>-0</v>
      </c>
      <c r="CR333" s="58" t="n">
        <f aca="false">-MIN(CR330+CR331+CR332,MAX(0,CR256-Helpers!CP26))</f>
        <v>-0</v>
      </c>
      <c r="CS333" s="58" t="n">
        <f aca="false">-MIN(CS330+CS331+CS332,MAX(0,CS256-Helpers!CQ26))</f>
        <v>-0</v>
      </c>
      <c r="CT333" s="58" t="n">
        <f aca="false">-MIN(CT330+CT331+CT332,MAX(0,CT256-Helpers!CR26))</f>
        <v>-0</v>
      </c>
      <c r="CU333" s="58" t="n">
        <f aca="false">-MIN(CU330+CU331+CU332,MAX(0,CU256-Helpers!CS26))</f>
        <v>-0</v>
      </c>
      <c r="CV333" s="58" t="n">
        <f aca="false">-MIN(CV330+CV331+CV332,MAX(0,CV256-Helpers!CT26))</f>
        <v>-0</v>
      </c>
      <c r="CW333" s="58" t="n">
        <f aca="false">-MIN(CW330+CW331+CW332,MAX(0,CW256-Helpers!CU26))</f>
        <v>-0</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0</v>
      </c>
      <c r="F334" s="54" t="n">
        <f aca="false">MAX(0,F330+F331+F332+F333)</f>
        <v>0</v>
      </c>
      <c r="G334" s="54" t="n">
        <f aca="false">MAX(0,G330+G331+G332+G333)</f>
        <v>0</v>
      </c>
      <c r="H334" s="54" t="n">
        <f aca="false">MAX(0,H330+H331+H332+H333)</f>
        <v>0</v>
      </c>
      <c r="I334" s="54" t="n">
        <f aca="false">MAX(0,I330+I331+I332+I333)</f>
        <v>0</v>
      </c>
      <c r="J334" s="54" t="n">
        <f aca="false">MAX(0,J330+J331+J332+J333)</f>
        <v>0</v>
      </c>
      <c r="K334" s="54" t="n">
        <f aca="false">MAX(0,K330+K331+K332+K333)</f>
        <v>0</v>
      </c>
      <c r="L334" s="54" t="n">
        <f aca="false">MAX(0,L330+L331+L332+L333)</f>
        <v>0</v>
      </c>
      <c r="M334" s="54" t="n">
        <f aca="false">MAX(0,M330+M331+M332+M333)</f>
        <v>0</v>
      </c>
      <c r="N334" s="54" t="n">
        <f aca="false">MAX(0,N330+N331+N332+N333)</f>
        <v>0</v>
      </c>
      <c r="O334" s="54" t="n">
        <f aca="false">MAX(0,O330+O331+O332+O333)</f>
        <v>0</v>
      </c>
      <c r="P334" s="54" t="n">
        <f aca="false">MAX(0,P330+P331+P332+P333)</f>
        <v>0</v>
      </c>
      <c r="Q334" s="54" t="n">
        <f aca="false">MAX(0,Q330+Q331+Q332+Q333)</f>
        <v>0</v>
      </c>
      <c r="R334" s="54" t="n">
        <f aca="false">MAX(0,R330+R331+R332+R333)</f>
        <v>0</v>
      </c>
      <c r="S334" s="54" t="n">
        <f aca="false">MAX(0,S330+S331+S332+S333)</f>
        <v>0</v>
      </c>
      <c r="T334" s="54" t="n">
        <f aca="false">MAX(0,T330+T331+T332+T333)</f>
        <v>0</v>
      </c>
      <c r="U334" s="54" t="n">
        <f aca="false">MAX(0,U330+U331+U332+U333)</f>
        <v>0</v>
      </c>
      <c r="V334" s="54" t="n">
        <f aca="false">MAX(0,V330+V331+V332+V333)</f>
        <v>0</v>
      </c>
      <c r="W334" s="54" t="n">
        <f aca="false">MAX(0,W330+W331+W332+W333)</f>
        <v>0</v>
      </c>
      <c r="X334" s="54" t="n">
        <f aca="false">MAX(0,X330+X331+X332+X333)</f>
        <v>0</v>
      </c>
      <c r="Y334" s="54" t="n">
        <f aca="false">MAX(0,Y330+Y331+Y332+Y333)</f>
        <v>0</v>
      </c>
      <c r="Z334" s="54" t="n">
        <f aca="false">MAX(0,Z330+Z331+Z332+Z333)</f>
        <v>0</v>
      </c>
      <c r="AA334" s="54" t="n">
        <f aca="false">MAX(0,AA330+AA331+AA332+AA333)</f>
        <v>0</v>
      </c>
      <c r="AB334" s="54" t="n">
        <f aca="false">MAX(0,AB330+AB331+AB332+AB333)</f>
        <v>0</v>
      </c>
      <c r="AC334" s="54" t="n">
        <f aca="false">MAX(0,AC330+AC331+AC332+AC333)</f>
        <v>0</v>
      </c>
      <c r="AD334" s="54" t="n">
        <f aca="false">MAX(0,AD330+AD331+AD332+AD333)</f>
        <v>0</v>
      </c>
      <c r="AE334" s="54" t="n">
        <f aca="false">MAX(0,AE330+AE331+AE332+AE333)</f>
        <v>0</v>
      </c>
      <c r="AF334" s="54" t="n">
        <f aca="false">MAX(0,AF330+AF331+AF332+AF333)</f>
        <v>0</v>
      </c>
      <c r="AG334" s="54" t="n">
        <f aca="false">MAX(0,AG330+AG331+AG332+AG333)</f>
        <v>0</v>
      </c>
      <c r="AH334" s="54" t="n">
        <f aca="false">MAX(0,AH330+AH331+AH332+AH333)</f>
        <v>0</v>
      </c>
      <c r="AI334" s="54" t="n">
        <f aca="false">MAX(0,AI330+AI331+AI332+AI333)</f>
        <v>0</v>
      </c>
      <c r="AJ334" s="54" t="n">
        <f aca="false">MAX(0,AJ330+AJ331+AJ332+AJ333)</f>
        <v>0</v>
      </c>
      <c r="AK334" s="54" t="n">
        <f aca="false">MAX(0,AK330+AK331+AK332+AK333)</f>
        <v>0</v>
      </c>
      <c r="AL334" s="54" t="n">
        <f aca="false">MAX(0,AL330+AL331+AL332+AL333)</f>
        <v>0</v>
      </c>
      <c r="AM334" s="54" t="n">
        <f aca="false">MAX(0,AM330+AM331+AM332+AM333)</f>
        <v>0</v>
      </c>
      <c r="AN334" s="54" t="n">
        <f aca="false">MAX(0,AN330+AN331+AN332+AN333)</f>
        <v>0</v>
      </c>
      <c r="AO334" s="54" t="n">
        <f aca="false">MAX(0,AO330+AO331+AO332+AO333)</f>
        <v>0</v>
      </c>
      <c r="AP334" s="54" t="n">
        <f aca="false">MAX(0,AP330+AP331+AP332+AP333)</f>
        <v>0</v>
      </c>
      <c r="AQ334" s="54" t="n">
        <f aca="false">MAX(0,AQ330+AQ331+AQ332+AQ333)</f>
        <v>0</v>
      </c>
      <c r="AR334" s="54" t="n">
        <f aca="false">MAX(0,AR330+AR331+AR332+AR333)</f>
        <v>0</v>
      </c>
      <c r="AS334" s="54" t="n">
        <f aca="false">MAX(0,AS330+AS331+AS332+AS333)</f>
        <v>0</v>
      </c>
      <c r="AT334" s="54" t="n">
        <f aca="false">MAX(0,AT330+AT331+AT332+AT333)</f>
        <v>0</v>
      </c>
      <c r="AU334" s="54" t="n">
        <f aca="false">MAX(0,AU330+AU331+AU332+AU333)</f>
        <v>0</v>
      </c>
      <c r="AV334" s="54" t="n">
        <f aca="false">MAX(0,AV330+AV331+AV332+AV333)</f>
        <v>0</v>
      </c>
      <c r="AW334" s="54" t="n">
        <f aca="false">MAX(0,AW330+AW331+AW332+AW333)</f>
        <v>0</v>
      </c>
      <c r="AX334" s="54" t="n">
        <f aca="false">MAX(0,AX330+AX331+AX332+AX333)</f>
        <v>0</v>
      </c>
      <c r="AY334" s="54" t="n">
        <f aca="false">MAX(0,AY330+AY331+AY332+AY333)</f>
        <v>0</v>
      </c>
      <c r="AZ334" s="54" t="n">
        <f aca="false">MAX(0,AZ330+AZ331+AZ332+AZ333)</f>
        <v>0</v>
      </c>
      <c r="BA334" s="54" t="n">
        <f aca="false">MAX(0,BA330+BA331+BA332+BA333)</f>
        <v>0</v>
      </c>
      <c r="BB334" s="54" t="n">
        <f aca="false">MAX(0,BB330+BB331+BB332+BB333)</f>
        <v>0</v>
      </c>
      <c r="BC334" s="54" t="n">
        <f aca="false">MAX(0,BC330+BC331+BC332+BC333)</f>
        <v>0</v>
      </c>
      <c r="BD334" s="54" t="n">
        <f aca="false">MAX(0,BD330+BD331+BD332+BD333)</f>
        <v>0</v>
      </c>
      <c r="BE334" s="54" t="n">
        <f aca="false">MAX(0,BE330+BE331+BE332+BE333)</f>
        <v>0</v>
      </c>
      <c r="BF334" s="54" t="n">
        <f aca="false">MAX(0,BF330+BF331+BF332+BF333)</f>
        <v>0</v>
      </c>
      <c r="BG334" s="54" t="n">
        <f aca="false">MAX(0,BG330+BG331+BG332+BG333)</f>
        <v>0</v>
      </c>
      <c r="BH334" s="54" t="n">
        <f aca="false">MAX(0,BH330+BH331+BH332+BH333)</f>
        <v>0</v>
      </c>
      <c r="BI334" s="54" t="n">
        <f aca="false">MAX(0,BI330+BI331+BI332+BI333)</f>
        <v>0</v>
      </c>
      <c r="BJ334" s="54" t="n">
        <f aca="false">MAX(0,BJ330+BJ331+BJ332+BJ333)</f>
        <v>0</v>
      </c>
      <c r="BK334" s="54" t="n">
        <f aca="false">MAX(0,BK330+BK331+BK332+BK333)</f>
        <v>0</v>
      </c>
      <c r="BL334" s="54" t="n">
        <f aca="false">MAX(0,BL330+BL331+BL332+BL333)</f>
        <v>0</v>
      </c>
      <c r="BM334" s="54" t="n">
        <f aca="false">MAX(0,BM330+BM331+BM332+BM333)</f>
        <v>0</v>
      </c>
      <c r="BN334" s="54" t="n">
        <f aca="false">MAX(0,BN330+BN331+BN332+BN333)</f>
        <v>0</v>
      </c>
      <c r="BO334" s="54" t="n">
        <f aca="false">MAX(0,BO330+BO331+BO332+BO333)</f>
        <v>0</v>
      </c>
      <c r="BP334" s="54" t="n">
        <f aca="false">MAX(0,BP330+BP331+BP332+BP333)</f>
        <v>0</v>
      </c>
      <c r="BQ334" s="54" t="n">
        <f aca="false">MAX(0,BQ330+BQ331+BQ332+BQ333)</f>
        <v>0</v>
      </c>
      <c r="BR334" s="54" t="n">
        <f aca="false">MAX(0,BR330+BR331+BR332+BR333)</f>
        <v>0</v>
      </c>
      <c r="BS334" s="54" t="n">
        <f aca="false">MAX(0,BS330+BS331+BS332+BS333)</f>
        <v>0</v>
      </c>
      <c r="BT334" s="54" t="n">
        <f aca="false">MAX(0,BT330+BT331+BT332+BT333)</f>
        <v>0</v>
      </c>
      <c r="BU334" s="54" t="n">
        <f aca="false">MAX(0,BU330+BU331+BU332+BU333)</f>
        <v>0</v>
      </c>
      <c r="BV334" s="54" t="n">
        <f aca="false">MAX(0,BV330+BV331+BV332+BV333)</f>
        <v>0</v>
      </c>
      <c r="BW334" s="54" t="n">
        <f aca="false">MAX(0,BW330+BW331+BW332+BW333)</f>
        <v>0</v>
      </c>
      <c r="BX334" s="54" t="n">
        <f aca="false">MAX(0,BX330+BX331+BX332+BX333)</f>
        <v>0</v>
      </c>
      <c r="BY334" s="54" t="n">
        <f aca="false">MAX(0,BY330+BY331+BY332+BY333)</f>
        <v>0</v>
      </c>
      <c r="BZ334" s="54" t="n">
        <f aca="false">MAX(0,BZ330+BZ331+BZ332+BZ333)</f>
        <v>0</v>
      </c>
      <c r="CA334" s="54" t="n">
        <f aca="false">MAX(0,CA330+CA331+CA332+CA333)</f>
        <v>0</v>
      </c>
      <c r="CB334" s="54" t="n">
        <f aca="false">MAX(0,CB330+CB331+CB332+CB333)</f>
        <v>0</v>
      </c>
      <c r="CC334" s="54" t="n">
        <f aca="false">MAX(0,CC330+CC331+CC332+CC333)</f>
        <v>0</v>
      </c>
      <c r="CD334" s="54" t="n">
        <f aca="false">MAX(0,CD330+CD331+CD332+CD333)</f>
        <v>0</v>
      </c>
      <c r="CE334" s="54" t="n">
        <f aca="false">MAX(0,CE330+CE331+CE332+CE333)</f>
        <v>0</v>
      </c>
      <c r="CF334" s="54" t="n">
        <f aca="false">MAX(0,CF330+CF331+CF332+CF333)</f>
        <v>0</v>
      </c>
      <c r="CG334" s="54" t="n">
        <f aca="false">MAX(0,CG330+CG331+CG332+CG333)</f>
        <v>0</v>
      </c>
      <c r="CH334" s="54" t="n">
        <f aca="false">MAX(0,CH330+CH331+CH332+CH333)</f>
        <v>0</v>
      </c>
      <c r="CI334" s="54" t="n">
        <f aca="false">MAX(0,CI330+CI331+CI332+CI333)</f>
        <v>0</v>
      </c>
      <c r="CJ334" s="54" t="n">
        <f aca="false">MAX(0,CJ330+CJ331+CJ332+CJ333)</f>
        <v>0</v>
      </c>
      <c r="CK334" s="54" t="n">
        <f aca="false">MAX(0,CK330+CK331+CK332+CK333)</f>
        <v>0</v>
      </c>
      <c r="CL334" s="54" t="n">
        <f aca="false">MAX(0,CL330+CL331+CL332+CL333)</f>
        <v>0</v>
      </c>
      <c r="CM334" s="54" t="n">
        <f aca="false">MAX(0,CM330+CM331+CM332+CM333)</f>
        <v>0</v>
      </c>
      <c r="CN334" s="54" t="n">
        <f aca="false">MAX(0,CN330+CN331+CN332+CN333)</f>
        <v>0</v>
      </c>
      <c r="CO334" s="54" t="n">
        <f aca="false">MAX(0,CO330+CO331+CO332+CO333)</f>
        <v>0</v>
      </c>
      <c r="CP334" s="54" t="n">
        <f aca="false">MAX(0,CP330+CP331+CP332+CP333)</f>
        <v>0</v>
      </c>
      <c r="CQ334" s="54" t="n">
        <f aca="false">MAX(0,CQ330+CQ331+CQ332+CQ333)</f>
        <v>0</v>
      </c>
      <c r="CR334" s="54" t="n">
        <f aca="false">MAX(0,CR330+CR331+CR332+CR333)</f>
        <v>0</v>
      </c>
      <c r="CS334" s="54" t="n">
        <f aca="false">MAX(0,CS330+CS331+CS332+CS333)</f>
        <v>0</v>
      </c>
      <c r="CT334" s="54" t="n">
        <f aca="false">MAX(0,CT330+CT331+CT332+CT333)</f>
        <v>0</v>
      </c>
      <c r="CU334" s="54" t="n">
        <f aca="false">MAX(0,CU330+CU331+CU332+CU333)</f>
        <v>0</v>
      </c>
      <c r="CV334" s="54" t="n">
        <f aca="false">MAX(0,CV330+CV331+CV332+CV333)</f>
        <v>0</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0</v>
      </c>
      <c r="F335" s="56" t="n">
        <f aca="false">E339+IF(AND(Projects!$G$13="Yes",2&lt;=Assumptions!$B$73),Assumptions!$B$72,0)</f>
        <v>0</v>
      </c>
      <c r="G335" s="56" t="n">
        <f aca="false">F339+IF(AND(Projects!$G$13="Yes",3&lt;=Assumptions!$B$73),Assumptions!$B$72,0)</f>
        <v>0</v>
      </c>
      <c r="H335" s="56" t="n">
        <f aca="false">G339+IF(AND(Projects!$G$13="Yes",4&lt;=Assumptions!$B$73),Assumptions!$B$72,0)</f>
        <v>0</v>
      </c>
      <c r="I335" s="56" t="n">
        <f aca="false">H339+IF(AND(Projects!$G$13="Yes",5&lt;=Assumptions!$B$73),Assumptions!$B$72,0)</f>
        <v>0</v>
      </c>
      <c r="J335" s="56" t="n">
        <f aca="false">I339+IF(AND(Projects!$G$13="Yes",6&lt;=Assumptions!$B$73),Assumptions!$B$72,0)</f>
        <v>0</v>
      </c>
      <c r="K335" s="56" t="n">
        <f aca="false">J339+IF(AND(Projects!$G$13="Yes",7&lt;=Assumptions!$B$73),Assumptions!$B$72,0)</f>
        <v>0</v>
      </c>
      <c r="L335" s="56" t="n">
        <f aca="false">K339+IF(AND(Projects!$G$13="Yes",8&lt;=Assumptions!$B$73),Assumptions!$B$72,0)</f>
        <v>0</v>
      </c>
      <c r="M335" s="56" t="n">
        <f aca="false">L339+IF(AND(Projects!$G$13="Yes",9&lt;=Assumptions!$B$73),Assumptions!$B$72,0)</f>
        <v>0</v>
      </c>
      <c r="N335" s="56" t="n">
        <f aca="false">M339+IF(AND(Projects!$G$13="Yes",10&lt;=Assumptions!$B$73),Assumptions!$B$72,0)</f>
        <v>0</v>
      </c>
      <c r="O335" s="56" t="n">
        <f aca="false">N339+IF(AND(Projects!$G$13="Yes",11&lt;=Assumptions!$B$73),Assumptions!$B$72,0)</f>
        <v>0</v>
      </c>
      <c r="P335" s="56" t="n">
        <f aca="false">O339+IF(AND(Projects!$G$13="Yes",12&lt;=Assumptions!$B$73),Assumptions!$B$72,0)</f>
        <v>0</v>
      </c>
      <c r="Q335" s="56" t="n">
        <f aca="false">P339+IF(AND(Projects!$G$13="Yes",13&lt;=Assumptions!$B$73),Assumptions!$B$72,0)</f>
        <v>0</v>
      </c>
      <c r="R335" s="56" t="n">
        <f aca="false">Q339+IF(AND(Projects!$G$13="Yes",14&lt;=Assumptions!$B$73),Assumptions!$B$72,0)</f>
        <v>0</v>
      </c>
      <c r="S335" s="56" t="n">
        <f aca="false">R339+IF(AND(Projects!$G$13="Yes",15&lt;=Assumptions!$B$73),Assumptions!$B$72,0)</f>
        <v>0</v>
      </c>
      <c r="T335" s="56" t="n">
        <f aca="false">S339+IF(AND(Projects!$G$13="Yes",16&lt;=Assumptions!$B$73),Assumptions!$B$72,0)</f>
        <v>0</v>
      </c>
      <c r="U335" s="56" t="n">
        <f aca="false">T339+IF(AND(Projects!$G$13="Yes",17&lt;=Assumptions!$B$73),Assumptions!$B$72,0)</f>
        <v>0</v>
      </c>
      <c r="V335" s="56" t="n">
        <f aca="false">U339+IF(AND(Projects!$G$13="Yes",18&lt;=Assumptions!$B$73),Assumptions!$B$72,0)</f>
        <v>0</v>
      </c>
      <c r="W335" s="56" t="n">
        <f aca="false">V339+IF(AND(Projects!$G$13="Yes",19&lt;=Assumptions!$B$73),Assumptions!$B$72,0)</f>
        <v>0</v>
      </c>
      <c r="X335" s="56" t="n">
        <f aca="false">W339+IF(AND(Projects!$G$13="Yes",20&lt;=Assumptions!$B$73),Assumptions!$B$72,0)</f>
        <v>0</v>
      </c>
      <c r="Y335" s="56" t="n">
        <f aca="false">X339+IF(AND(Projects!$G$13="Yes",21&lt;=Assumptions!$B$73),Assumptions!$B$72,0)</f>
        <v>0</v>
      </c>
      <c r="Z335" s="56" t="n">
        <f aca="false">Y339+IF(AND(Projects!$G$13="Yes",22&lt;=Assumptions!$B$73),Assumptions!$B$72,0)</f>
        <v>0</v>
      </c>
      <c r="AA335" s="56" t="n">
        <f aca="false">Z339+IF(AND(Projects!$G$13="Yes",23&lt;=Assumptions!$B$73),Assumptions!$B$72,0)</f>
        <v>0</v>
      </c>
      <c r="AB335" s="56" t="n">
        <f aca="false">AA339+IF(AND(Projects!$G$13="Yes",24&lt;=Assumptions!$B$73),Assumptions!$B$72,0)</f>
        <v>0</v>
      </c>
      <c r="AC335" s="56" t="n">
        <f aca="false">AB339+IF(AND(Projects!$G$13="Yes",25&lt;=Assumptions!$B$73),Assumptions!$B$72,0)</f>
        <v>0</v>
      </c>
      <c r="AD335" s="56" t="n">
        <f aca="false">AC339+IF(AND(Projects!$G$13="Yes",26&lt;=Assumptions!$B$73),Assumptions!$B$72,0)</f>
        <v>0</v>
      </c>
      <c r="AE335" s="56" t="n">
        <f aca="false">AD339+IF(AND(Projects!$G$13="Yes",27&lt;=Assumptions!$B$73),Assumptions!$B$72,0)</f>
        <v>0</v>
      </c>
      <c r="AF335" s="56" t="n">
        <f aca="false">AE339+IF(AND(Projects!$G$13="Yes",28&lt;=Assumptions!$B$73),Assumptions!$B$72,0)</f>
        <v>0</v>
      </c>
      <c r="AG335" s="56" t="n">
        <f aca="false">AF339+IF(AND(Projects!$G$13="Yes",29&lt;=Assumptions!$B$73),Assumptions!$B$72,0)</f>
        <v>0</v>
      </c>
      <c r="AH335" s="56" t="n">
        <f aca="false">AG339+IF(AND(Projects!$G$13="Yes",30&lt;=Assumptions!$B$73),Assumptions!$B$72,0)</f>
        <v>0</v>
      </c>
      <c r="AI335" s="56" t="n">
        <f aca="false">AH339+IF(AND(Projects!$G$13="Yes",31&lt;=Assumptions!$B$73),Assumptions!$B$72,0)</f>
        <v>0</v>
      </c>
      <c r="AJ335" s="56" t="n">
        <f aca="false">AI339+IF(AND(Projects!$G$13="Yes",32&lt;=Assumptions!$B$73),Assumptions!$B$72,0)</f>
        <v>0</v>
      </c>
      <c r="AK335" s="56" t="n">
        <f aca="false">AJ339+IF(AND(Projects!$G$13="Yes",33&lt;=Assumptions!$B$73),Assumptions!$B$72,0)</f>
        <v>0</v>
      </c>
      <c r="AL335" s="56" t="n">
        <f aca="false">AK339+IF(AND(Projects!$G$13="Yes",34&lt;=Assumptions!$B$73),Assumptions!$B$72,0)</f>
        <v>0</v>
      </c>
      <c r="AM335" s="56" t="n">
        <f aca="false">AL339+IF(AND(Projects!$G$13="Yes",35&lt;=Assumptions!$B$73),Assumptions!$B$72,0)</f>
        <v>0</v>
      </c>
      <c r="AN335" s="56" t="n">
        <f aca="false">AM339+IF(AND(Projects!$G$13="Yes",36&lt;=Assumptions!$B$73),Assumptions!$B$72,0)</f>
        <v>0</v>
      </c>
      <c r="AO335" s="56" t="n">
        <f aca="false">AN339+IF(AND(Projects!$G$13="Yes",37&lt;=Assumptions!$B$73),Assumptions!$B$72,0)</f>
        <v>0</v>
      </c>
      <c r="AP335" s="56" t="n">
        <f aca="false">AO339+IF(AND(Projects!$G$13="Yes",38&lt;=Assumptions!$B$73),Assumptions!$B$72,0)</f>
        <v>0</v>
      </c>
      <c r="AQ335" s="56" t="n">
        <f aca="false">AP339+IF(AND(Projects!$G$13="Yes",39&lt;=Assumptions!$B$73),Assumptions!$B$72,0)</f>
        <v>0</v>
      </c>
      <c r="AR335" s="56" t="n">
        <f aca="false">AQ339+IF(AND(Projects!$G$13="Yes",40&lt;=Assumptions!$B$73),Assumptions!$B$72,0)</f>
        <v>0</v>
      </c>
      <c r="AS335" s="56" t="n">
        <f aca="false">AR339+IF(AND(Projects!$G$13="Yes",41&lt;=Assumptions!$B$73),Assumptions!$B$72,0)</f>
        <v>0</v>
      </c>
      <c r="AT335" s="56" t="n">
        <f aca="false">AS339+IF(AND(Projects!$G$13="Yes",42&lt;=Assumptions!$B$73),Assumptions!$B$72,0)</f>
        <v>0</v>
      </c>
      <c r="AU335" s="56" t="n">
        <f aca="false">AT339+IF(AND(Projects!$G$13="Yes",43&lt;=Assumptions!$B$73),Assumptions!$B$72,0)</f>
        <v>0</v>
      </c>
      <c r="AV335" s="56" t="n">
        <f aca="false">AU339+IF(AND(Projects!$G$13="Yes",44&lt;=Assumptions!$B$73),Assumptions!$B$72,0)</f>
        <v>0</v>
      </c>
      <c r="AW335" s="56" t="n">
        <f aca="false">AV339+IF(AND(Projects!$G$13="Yes",45&lt;=Assumptions!$B$73),Assumptions!$B$72,0)</f>
        <v>0</v>
      </c>
      <c r="AX335" s="56" t="n">
        <f aca="false">AW339+IF(AND(Projects!$G$13="Yes",46&lt;=Assumptions!$B$73),Assumptions!$B$72,0)</f>
        <v>0</v>
      </c>
      <c r="AY335" s="56" t="n">
        <f aca="false">AX339+IF(AND(Projects!$G$13="Yes",47&lt;=Assumptions!$B$73),Assumptions!$B$72,0)</f>
        <v>0</v>
      </c>
      <c r="AZ335" s="56" t="n">
        <f aca="false">AY339+IF(AND(Projects!$G$13="Yes",48&lt;=Assumptions!$B$73),Assumptions!$B$72,0)</f>
        <v>0</v>
      </c>
      <c r="BA335" s="56" t="n">
        <f aca="false">AZ339+IF(AND(Projects!$G$13="Yes",49&lt;=Assumptions!$B$73),Assumptions!$B$72,0)</f>
        <v>0</v>
      </c>
      <c r="BB335" s="56" t="n">
        <f aca="false">BA339+IF(AND(Projects!$G$13="Yes",50&lt;=Assumptions!$B$73),Assumptions!$B$72,0)</f>
        <v>0</v>
      </c>
      <c r="BC335" s="56" t="n">
        <f aca="false">BB339+IF(AND(Projects!$G$13="Yes",51&lt;=Assumptions!$B$73),Assumptions!$B$72,0)</f>
        <v>0</v>
      </c>
      <c r="BD335" s="56" t="n">
        <f aca="false">BC339+IF(AND(Projects!$G$13="Yes",52&lt;=Assumptions!$B$73),Assumptions!$B$72,0)</f>
        <v>0</v>
      </c>
      <c r="BE335" s="56" t="n">
        <f aca="false">BD339+IF(AND(Projects!$G$13="Yes",53&lt;=Assumptions!$B$73),Assumptions!$B$72,0)</f>
        <v>0</v>
      </c>
      <c r="BF335" s="56" t="n">
        <f aca="false">BE339+IF(AND(Projects!$G$13="Yes",54&lt;=Assumptions!$B$73),Assumptions!$B$72,0)</f>
        <v>0</v>
      </c>
      <c r="BG335" s="56" t="n">
        <f aca="false">BF339+IF(AND(Projects!$G$13="Yes",55&lt;=Assumptions!$B$73),Assumptions!$B$72,0)</f>
        <v>0</v>
      </c>
      <c r="BH335" s="56" t="n">
        <f aca="false">BG339+IF(AND(Projects!$G$13="Yes",56&lt;=Assumptions!$B$73),Assumptions!$B$72,0)</f>
        <v>0</v>
      </c>
      <c r="BI335" s="56" t="n">
        <f aca="false">BH339+IF(AND(Projects!$G$13="Yes",57&lt;=Assumptions!$B$73),Assumptions!$B$72,0)</f>
        <v>0</v>
      </c>
      <c r="BJ335" s="56" t="n">
        <f aca="false">BI339+IF(AND(Projects!$G$13="Yes",58&lt;=Assumptions!$B$73),Assumptions!$B$72,0)</f>
        <v>0</v>
      </c>
      <c r="BK335" s="56" t="n">
        <f aca="false">BJ339+IF(AND(Projects!$G$13="Yes",59&lt;=Assumptions!$B$73),Assumptions!$B$72,0)</f>
        <v>0</v>
      </c>
      <c r="BL335" s="56" t="n">
        <f aca="false">BK339+IF(AND(Projects!$G$13="Yes",60&lt;=Assumptions!$B$73),Assumptions!$B$72,0)</f>
        <v>0</v>
      </c>
      <c r="BM335" s="56" t="n">
        <f aca="false">BL339+IF(AND(Projects!$G$13="Yes",61&lt;=Assumptions!$B$73),Assumptions!$B$72,0)</f>
        <v>0</v>
      </c>
      <c r="BN335" s="56" t="n">
        <f aca="false">BM339+IF(AND(Projects!$G$13="Yes",62&lt;=Assumptions!$B$73),Assumptions!$B$72,0)</f>
        <v>0</v>
      </c>
      <c r="BO335" s="56" t="n">
        <f aca="false">BN339+IF(AND(Projects!$G$13="Yes",63&lt;=Assumptions!$B$73),Assumptions!$B$72,0)</f>
        <v>0</v>
      </c>
      <c r="BP335" s="56" t="n">
        <f aca="false">BO339+IF(AND(Projects!$G$13="Yes",64&lt;=Assumptions!$B$73),Assumptions!$B$72,0)</f>
        <v>0</v>
      </c>
      <c r="BQ335" s="56" t="n">
        <f aca="false">BP339+IF(AND(Projects!$G$13="Yes",65&lt;=Assumptions!$B$73),Assumptions!$B$72,0)</f>
        <v>0</v>
      </c>
      <c r="BR335" s="56" t="n">
        <f aca="false">BQ339+IF(AND(Projects!$G$13="Yes",66&lt;=Assumptions!$B$73),Assumptions!$B$72,0)</f>
        <v>0</v>
      </c>
      <c r="BS335" s="56" t="n">
        <f aca="false">BR339+IF(AND(Projects!$G$13="Yes",67&lt;=Assumptions!$B$73),Assumptions!$B$72,0)</f>
        <v>0</v>
      </c>
      <c r="BT335" s="56" t="n">
        <f aca="false">BS339+IF(AND(Projects!$G$13="Yes",68&lt;=Assumptions!$B$73),Assumptions!$B$72,0)</f>
        <v>0</v>
      </c>
      <c r="BU335" s="56" t="n">
        <f aca="false">BT339+IF(AND(Projects!$G$13="Yes",69&lt;=Assumptions!$B$73),Assumptions!$B$72,0)</f>
        <v>0</v>
      </c>
      <c r="BV335" s="56" t="n">
        <f aca="false">BU339+IF(AND(Projects!$G$13="Yes",70&lt;=Assumptions!$B$73),Assumptions!$B$72,0)</f>
        <v>0</v>
      </c>
      <c r="BW335" s="56" t="n">
        <f aca="false">BV339+IF(AND(Projects!$G$13="Yes",71&lt;=Assumptions!$B$73),Assumptions!$B$72,0)</f>
        <v>0</v>
      </c>
      <c r="BX335" s="56" t="n">
        <f aca="false">BW339+IF(AND(Projects!$G$13="Yes",72&lt;=Assumptions!$B$73),Assumptions!$B$72,0)</f>
        <v>0</v>
      </c>
      <c r="BY335" s="56" t="n">
        <f aca="false">BX339+IF(AND(Projects!$G$13="Yes",73&lt;=Assumptions!$B$73),Assumptions!$B$72,0)</f>
        <v>0</v>
      </c>
      <c r="BZ335" s="56" t="n">
        <f aca="false">BY339+IF(AND(Projects!$G$13="Yes",74&lt;=Assumptions!$B$73),Assumptions!$B$72,0)</f>
        <v>0</v>
      </c>
      <c r="CA335" s="56" t="n">
        <f aca="false">BZ339+IF(AND(Projects!$G$13="Yes",75&lt;=Assumptions!$B$73),Assumptions!$B$72,0)</f>
        <v>0</v>
      </c>
      <c r="CB335" s="56" t="n">
        <f aca="false">CA339+IF(AND(Projects!$G$13="Yes",76&lt;=Assumptions!$B$73),Assumptions!$B$72,0)</f>
        <v>0</v>
      </c>
      <c r="CC335" s="56" t="n">
        <f aca="false">CB339+IF(AND(Projects!$G$13="Yes",77&lt;=Assumptions!$B$73),Assumptions!$B$72,0)</f>
        <v>0</v>
      </c>
      <c r="CD335" s="56" t="n">
        <f aca="false">CC339+IF(AND(Projects!$G$13="Yes",78&lt;=Assumptions!$B$73),Assumptions!$B$72,0)</f>
        <v>0</v>
      </c>
      <c r="CE335" s="56" t="n">
        <f aca="false">CD339+IF(AND(Projects!$G$13="Yes",79&lt;=Assumptions!$B$73),Assumptions!$B$72,0)</f>
        <v>0</v>
      </c>
      <c r="CF335" s="56" t="n">
        <f aca="false">CE339+IF(AND(Projects!$G$13="Yes",80&lt;=Assumptions!$B$73),Assumptions!$B$72,0)</f>
        <v>0</v>
      </c>
      <c r="CG335" s="56" t="n">
        <f aca="false">CF339+IF(AND(Projects!$G$13="Yes",81&lt;=Assumptions!$B$73),Assumptions!$B$72,0)</f>
        <v>0</v>
      </c>
      <c r="CH335" s="56" t="n">
        <f aca="false">CG339+IF(AND(Projects!$G$13="Yes",82&lt;=Assumptions!$B$73),Assumptions!$B$72,0)</f>
        <v>0</v>
      </c>
      <c r="CI335" s="56" t="n">
        <f aca="false">CH339+IF(AND(Projects!$G$13="Yes",83&lt;=Assumptions!$B$73),Assumptions!$B$72,0)</f>
        <v>0</v>
      </c>
      <c r="CJ335" s="56" t="n">
        <f aca="false">CI339+IF(AND(Projects!$G$13="Yes",84&lt;=Assumptions!$B$73),Assumptions!$B$72,0)</f>
        <v>0</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0</v>
      </c>
      <c r="H336" s="56" t="n">
        <f aca="false">IF(AND(MOD(4,3)=0,H335&gt;0),H335*Assumptions!$B$59,0)</f>
        <v>0</v>
      </c>
      <c r="I336" s="56" t="n">
        <f aca="false">IF(AND(MOD(5,3)=0,I335&gt;0),I335*Assumptions!$B$59,0)</f>
        <v>0</v>
      </c>
      <c r="J336" s="56" t="n">
        <f aca="false">IF(AND(MOD(6,3)=0,J335&gt;0),J335*Assumptions!$B$59,0)</f>
        <v>0</v>
      </c>
      <c r="K336" s="56" t="n">
        <f aca="false">IF(AND(MOD(7,3)=0,K335&gt;0),K335*Assumptions!$B$59,0)</f>
        <v>0</v>
      </c>
      <c r="L336" s="56" t="n">
        <f aca="false">IF(AND(MOD(8,3)=0,L335&gt;0),L335*Assumptions!$B$59,0)</f>
        <v>0</v>
      </c>
      <c r="M336" s="56" t="n">
        <f aca="false">IF(AND(MOD(9,3)=0,M335&gt;0),M335*Assumptions!$B$59,0)</f>
        <v>0</v>
      </c>
      <c r="N336" s="56" t="n">
        <f aca="false">IF(AND(MOD(10,3)=0,N335&gt;0),N335*Assumptions!$B$59,0)</f>
        <v>0</v>
      </c>
      <c r="O336" s="56" t="n">
        <f aca="false">IF(AND(MOD(11,3)=0,O335&gt;0),O335*Assumptions!$B$59,0)</f>
        <v>0</v>
      </c>
      <c r="P336" s="56" t="n">
        <f aca="false">IF(AND(MOD(12,3)=0,P335&gt;0),P335*Assumptions!$B$59,0)</f>
        <v>0</v>
      </c>
      <c r="Q336" s="56" t="n">
        <f aca="false">IF(AND(MOD(13,3)=0,Q335&gt;0),Q335*Assumptions!$B$59,0)</f>
        <v>0</v>
      </c>
      <c r="R336" s="56" t="n">
        <f aca="false">IF(AND(MOD(14,3)=0,R335&gt;0),R335*Assumptions!$B$59,0)</f>
        <v>0</v>
      </c>
      <c r="S336" s="56" t="n">
        <f aca="false">IF(AND(MOD(15,3)=0,S335&gt;0),S335*Assumptions!$B$59,0)</f>
        <v>0</v>
      </c>
      <c r="T336" s="56" t="n">
        <f aca="false">IF(AND(MOD(16,3)=0,T335&gt;0),T335*Assumptions!$B$59,0)</f>
        <v>0</v>
      </c>
      <c r="U336" s="56" t="n">
        <f aca="false">IF(AND(MOD(17,3)=0,U335&gt;0),U335*Assumptions!$B$59,0)</f>
        <v>0</v>
      </c>
      <c r="V336" s="56" t="n">
        <f aca="false">IF(AND(MOD(18,3)=0,V335&gt;0),V335*Assumptions!$B$59,0)</f>
        <v>0</v>
      </c>
      <c r="W336" s="56" t="n">
        <f aca="false">IF(AND(MOD(19,3)=0,W335&gt;0),W335*Assumptions!$B$59,0)</f>
        <v>0</v>
      </c>
      <c r="X336" s="56" t="n">
        <f aca="false">IF(AND(MOD(20,3)=0,X335&gt;0),X335*Assumptions!$B$59,0)</f>
        <v>0</v>
      </c>
      <c r="Y336" s="56" t="n">
        <f aca="false">IF(AND(MOD(21,3)=0,Y335&gt;0),Y335*Assumptions!$B$59,0)</f>
        <v>0</v>
      </c>
      <c r="Z336" s="56" t="n">
        <f aca="false">IF(AND(MOD(22,3)=0,Z335&gt;0),Z335*Assumptions!$B$59,0)</f>
        <v>0</v>
      </c>
      <c r="AA336" s="56" t="n">
        <f aca="false">IF(AND(MOD(23,3)=0,AA335&gt;0),AA335*Assumptions!$B$59,0)</f>
        <v>0</v>
      </c>
      <c r="AB336" s="56" t="n">
        <f aca="false">IF(AND(MOD(24,3)=0,AB335&gt;0),AB335*Assumptions!$B$59,0)</f>
        <v>0</v>
      </c>
      <c r="AC336" s="56" t="n">
        <f aca="false">IF(AND(MOD(25,3)=0,AC335&gt;0),AC335*Assumptions!$B$59,0)</f>
        <v>0</v>
      </c>
      <c r="AD336" s="56" t="n">
        <f aca="false">IF(AND(MOD(26,3)=0,AD335&gt;0),AD335*Assumptions!$B$59,0)</f>
        <v>0</v>
      </c>
      <c r="AE336" s="56" t="n">
        <f aca="false">IF(AND(MOD(27,3)=0,AE335&gt;0),AE335*Assumptions!$B$59,0)</f>
        <v>0</v>
      </c>
      <c r="AF336" s="56" t="n">
        <f aca="false">IF(AND(MOD(28,3)=0,AF335&gt;0),AF335*Assumptions!$B$59,0)</f>
        <v>0</v>
      </c>
      <c r="AG336" s="56" t="n">
        <f aca="false">IF(AND(MOD(29,3)=0,AG335&gt;0),AG335*Assumptions!$B$59,0)</f>
        <v>0</v>
      </c>
      <c r="AH336" s="56" t="n">
        <f aca="false">IF(AND(MOD(30,3)=0,AH335&gt;0),AH335*Assumptions!$B$59,0)</f>
        <v>0</v>
      </c>
      <c r="AI336" s="56" t="n">
        <f aca="false">IF(AND(MOD(31,3)=0,AI335&gt;0),AI335*Assumptions!$B$59,0)</f>
        <v>0</v>
      </c>
      <c r="AJ336" s="56" t="n">
        <f aca="false">IF(AND(MOD(32,3)=0,AJ335&gt;0),AJ335*Assumptions!$B$59,0)</f>
        <v>0</v>
      </c>
      <c r="AK336" s="56" t="n">
        <f aca="false">IF(AND(MOD(33,3)=0,AK335&gt;0),AK335*Assumptions!$B$59,0)</f>
        <v>0</v>
      </c>
      <c r="AL336" s="56" t="n">
        <f aca="false">IF(AND(MOD(34,3)=0,AL335&gt;0),AL335*Assumptions!$B$59,0)</f>
        <v>0</v>
      </c>
      <c r="AM336" s="56" t="n">
        <f aca="false">IF(AND(MOD(35,3)=0,AM335&gt;0),AM335*Assumptions!$B$59,0)</f>
        <v>0</v>
      </c>
      <c r="AN336" s="56" t="n">
        <f aca="false">IF(AND(MOD(36,3)=0,AN335&gt;0),AN335*Assumptions!$B$59,0)</f>
        <v>0</v>
      </c>
      <c r="AO336" s="56" t="n">
        <f aca="false">IF(AND(MOD(37,3)=0,AO335&gt;0),AO335*Assumptions!$B$59,0)</f>
        <v>0</v>
      </c>
      <c r="AP336" s="56" t="n">
        <f aca="false">IF(AND(MOD(38,3)=0,AP335&gt;0),AP335*Assumptions!$B$59,0)</f>
        <v>0</v>
      </c>
      <c r="AQ336" s="56" t="n">
        <f aca="false">IF(AND(MOD(39,3)=0,AQ335&gt;0),AQ335*Assumptions!$B$59,0)</f>
        <v>0</v>
      </c>
      <c r="AR336" s="56" t="n">
        <f aca="false">IF(AND(MOD(40,3)=0,AR335&gt;0),AR335*Assumptions!$B$59,0)</f>
        <v>0</v>
      </c>
      <c r="AS336" s="56" t="n">
        <f aca="false">IF(AND(MOD(41,3)=0,AS335&gt;0),AS335*Assumptions!$B$59,0)</f>
        <v>0</v>
      </c>
      <c r="AT336" s="56" t="n">
        <f aca="false">IF(AND(MOD(42,3)=0,AT335&gt;0),AT335*Assumptions!$B$59,0)</f>
        <v>0</v>
      </c>
      <c r="AU336" s="56" t="n">
        <f aca="false">IF(AND(MOD(43,3)=0,AU335&gt;0),AU335*Assumptions!$B$59,0)</f>
        <v>0</v>
      </c>
      <c r="AV336" s="56" t="n">
        <f aca="false">IF(AND(MOD(44,3)=0,AV335&gt;0),AV335*Assumptions!$B$59,0)</f>
        <v>0</v>
      </c>
      <c r="AW336" s="56" t="n">
        <f aca="false">IF(AND(MOD(45,3)=0,AW335&gt;0),AW335*Assumptions!$B$59,0)</f>
        <v>0</v>
      </c>
      <c r="AX336" s="56" t="n">
        <f aca="false">IF(AND(MOD(46,3)=0,AX335&gt;0),AX335*Assumptions!$B$59,0)</f>
        <v>0</v>
      </c>
      <c r="AY336" s="56" t="n">
        <f aca="false">IF(AND(MOD(47,3)=0,AY335&gt;0),AY335*Assumptions!$B$59,0)</f>
        <v>0</v>
      </c>
      <c r="AZ336" s="56" t="n">
        <f aca="false">IF(AND(MOD(48,3)=0,AZ335&gt;0),AZ335*Assumptions!$B$59,0)</f>
        <v>0</v>
      </c>
      <c r="BA336" s="56" t="n">
        <f aca="false">IF(AND(MOD(49,3)=0,BA335&gt;0),BA335*Assumptions!$B$59,0)</f>
        <v>0</v>
      </c>
      <c r="BB336" s="56" t="n">
        <f aca="false">IF(AND(MOD(50,3)=0,BB335&gt;0),BB335*Assumptions!$B$59,0)</f>
        <v>0</v>
      </c>
      <c r="BC336" s="56" t="n">
        <f aca="false">IF(AND(MOD(51,3)=0,BC335&gt;0),BC335*Assumptions!$B$59,0)</f>
        <v>0</v>
      </c>
      <c r="BD336" s="56" t="n">
        <f aca="false">IF(AND(MOD(52,3)=0,BD335&gt;0),BD335*Assumptions!$B$59,0)</f>
        <v>0</v>
      </c>
      <c r="BE336" s="56" t="n">
        <f aca="false">IF(AND(MOD(53,3)=0,BE335&gt;0),BE335*Assumptions!$B$59,0)</f>
        <v>0</v>
      </c>
      <c r="BF336" s="56" t="n">
        <f aca="false">IF(AND(MOD(54,3)=0,BF335&gt;0),BF335*Assumptions!$B$59,0)</f>
        <v>0</v>
      </c>
      <c r="BG336" s="56" t="n">
        <f aca="false">IF(AND(MOD(55,3)=0,BG335&gt;0),BG335*Assumptions!$B$59,0)</f>
        <v>0</v>
      </c>
      <c r="BH336" s="56" t="n">
        <f aca="false">IF(AND(MOD(56,3)=0,BH335&gt;0),BH335*Assumptions!$B$59,0)</f>
        <v>0</v>
      </c>
      <c r="BI336" s="56" t="n">
        <f aca="false">IF(AND(MOD(57,3)=0,BI335&gt;0),BI335*Assumptions!$B$59,0)</f>
        <v>0</v>
      </c>
      <c r="BJ336" s="56" t="n">
        <f aca="false">IF(AND(MOD(58,3)=0,BJ335&gt;0),BJ335*Assumptions!$B$59,0)</f>
        <v>0</v>
      </c>
      <c r="BK336" s="56" t="n">
        <f aca="false">IF(AND(MOD(59,3)=0,BK335&gt;0),BK335*Assumptions!$B$59,0)</f>
        <v>0</v>
      </c>
      <c r="BL336" s="56" t="n">
        <f aca="false">IF(AND(MOD(60,3)=0,BL335&gt;0),BL335*Assumptions!$B$59,0)</f>
        <v>0</v>
      </c>
      <c r="BM336" s="56" t="n">
        <f aca="false">IF(AND(MOD(61,3)=0,BM335&gt;0),BM335*Assumptions!$B$59,0)</f>
        <v>0</v>
      </c>
      <c r="BN336" s="56" t="n">
        <f aca="false">IF(AND(MOD(62,3)=0,BN335&gt;0),BN335*Assumptions!$B$59,0)</f>
        <v>0</v>
      </c>
      <c r="BO336" s="56" t="n">
        <f aca="false">IF(AND(MOD(63,3)=0,BO335&gt;0),BO335*Assumptions!$B$59,0)</f>
        <v>0</v>
      </c>
      <c r="BP336" s="56" t="n">
        <f aca="false">IF(AND(MOD(64,3)=0,BP335&gt;0),BP335*Assumptions!$B$59,0)</f>
        <v>0</v>
      </c>
      <c r="BQ336" s="56" t="n">
        <f aca="false">IF(AND(MOD(65,3)=0,BQ335&gt;0),BQ335*Assumptions!$B$59,0)</f>
        <v>0</v>
      </c>
      <c r="BR336" s="56" t="n">
        <f aca="false">IF(AND(MOD(66,3)=0,BR335&gt;0),BR335*Assumptions!$B$59,0)</f>
        <v>0</v>
      </c>
      <c r="BS336" s="56" t="n">
        <f aca="false">IF(AND(MOD(67,3)=0,BS335&gt;0),BS335*Assumptions!$B$59,0)</f>
        <v>0</v>
      </c>
      <c r="BT336" s="56" t="n">
        <f aca="false">IF(AND(MOD(68,3)=0,BT335&gt;0),BT335*Assumptions!$B$59,0)</f>
        <v>0</v>
      </c>
      <c r="BU336" s="56" t="n">
        <f aca="false">IF(AND(MOD(69,3)=0,BU335&gt;0),BU335*Assumptions!$B$59,0)</f>
        <v>0</v>
      </c>
      <c r="BV336" s="56" t="n">
        <f aca="false">IF(AND(MOD(70,3)=0,BV335&gt;0),BV335*Assumptions!$B$59,0)</f>
        <v>0</v>
      </c>
      <c r="BW336" s="56" t="n">
        <f aca="false">IF(AND(MOD(71,3)=0,BW335&gt;0),BW335*Assumptions!$B$59,0)</f>
        <v>0</v>
      </c>
      <c r="BX336" s="56" t="n">
        <f aca="false">IF(AND(MOD(72,3)=0,BX335&gt;0),BX335*Assumptions!$B$59,0)</f>
        <v>0</v>
      </c>
      <c r="BY336" s="56" t="n">
        <f aca="false">IF(AND(MOD(73,3)=0,BY335&gt;0),BY335*Assumptions!$B$59,0)</f>
        <v>0</v>
      </c>
      <c r="BZ336" s="56" t="n">
        <f aca="false">IF(AND(MOD(74,3)=0,BZ335&gt;0),BZ335*Assumptions!$B$59,0)</f>
        <v>0</v>
      </c>
      <c r="CA336" s="56" t="n">
        <f aca="false">IF(AND(MOD(75,3)=0,CA335&gt;0),CA335*Assumptions!$B$59,0)</f>
        <v>0</v>
      </c>
      <c r="CB336" s="56" t="n">
        <f aca="false">IF(AND(MOD(76,3)=0,CB335&gt;0),CB335*Assumptions!$B$59,0)</f>
        <v>0</v>
      </c>
      <c r="CC336" s="56" t="n">
        <f aca="false">IF(AND(MOD(77,3)=0,CC335&gt;0),CC335*Assumptions!$B$59,0)</f>
        <v>0</v>
      </c>
      <c r="CD336" s="56" t="n">
        <f aca="false">IF(AND(MOD(78,3)=0,CD335&gt;0),CD335*Assumptions!$B$59,0)</f>
        <v>0</v>
      </c>
      <c r="CE336" s="56" t="n">
        <f aca="false">IF(AND(MOD(79,3)=0,CE335&gt;0),CE335*Assumptions!$B$59,0)</f>
        <v>0</v>
      </c>
      <c r="CF336" s="56" t="n">
        <f aca="false">IF(AND(MOD(80,3)=0,CF335&gt;0),CF335*Assumptions!$B$59,0)</f>
        <v>0</v>
      </c>
      <c r="CG336" s="56" t="n">
        <f aca="false">IF(AND(MOD(81,3)=0,CG335&gt;0),CG335*Assumptions!$B$59,0)</f>
        <v>0</v>
      </c>
      <c r="CH336" s="56" t="n">
        <f aca="false">IF(AND(MOD(82,3)=0,CH335&gt;0),CH335*Assumptions!$B$59,0)</f>
        <v>0</v>
      </c>
      <c r="CI336" s="56" t="n">
        <f aca="false">IF(AND(MOD(83,3)=0,CI335&gt;0),CI335*Assumptions!$B$59,0)</f>
        <v>0</v>
      </c>
      <c r="CJ336" s="56" t="n">
        <f aca="false">IF(AND(MOD(84,3)=0,CJ335&gt;0),CJ335*Assumptions!$B$59,0)</f>
        <v>0</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-0</v>
      </c>
      <c r="BD338" s="58" t="n">
        <f aca="false">-MIN(BD335+BD336+BD337,MAX(0,BD255-Helpers!BB23))</f>
        <v>-0</v>
      </c>
      <c r="BE338" s="58" t="n">
        <f aca="false">-MIN(BE335+BE336+BE337,MAX(0,BE255-Helpers!BC23))</f>
        <v>-0</v>
      </c>
      <c r="BF338" s="58" t="n">
        <f aca="false">-MIN(BF335+BF336+BF337,MAX(0,BF255-Helpers!BD23))</f>
        <v>-0</v>
      </c>
      <c r="BG338" s="58" t="n">
        <f aca="false">-MIN(BG335+BG336+BG337,MAX(0,BG255-Helpers!BE23))</f>
        <v>-0</v>
      </c>
      <c r="BH338" s="58" t="n">
        <f aca="false">-MIN(BH335+BH336+BH337,MAX(0,BH255-Helpers!BF23))</f>
        <v>-0</v>
      </c>
      <c r="BI338" s="58" t="n">
        <f aca="false">-MIN(BI335+BI336+BI337,MAX(0,BI255-Helpers!BG23))</f>
        <v>-0</v>
      </c>
      <c r="BJ338" s="58" t="n">
        <f aca="false">-MIN(BJ335+BJ336+BJ337,MAX(0,BJ255-Helpers!BH23))</f>
        <v>-0</v>
      </c>
      <c r="BK338" s="58" t="n">
        <f aca="false">-MIN(BK335+BK336+BK337,MAX(0,BK255-Helpers!BI23))</f>
        <v>-0</v>
      </c>
      <c r="BL338" s="58" t="n">
        <f aca="false">-MIN(BL335+BL336+BL337,MAX(0,BL255-Helpers!BJ23))</f>
        <v>-0</v>
      </c>
      <c r="BM338" s="58" t="n">
        <f aca="false">-MIN(BM335+BM336+BM337,MAX(0,BM255-Helpers!BK23))</f>
        <v>-0</v>
      </c>
      <c r="BN338" s="58" t="n">
        <f aca="false">-MIN(BN335+BN336+BN337,MAX(0,BN255-Helpers!BL23))</f>
        <v>-0</v>
      </c>
      <c r="BO338" s="58" t="n">
        <f aca="false">-MIN(BO335+BO336+BO337,MAX(0,BO255-Helpers!BM23))</f>
        <v>-0</v>
      </c>
      <c r="BP338" s="58" t="n">
        <f aca="false">-MIN(BP335+BP336+BP337,MAX(0,BP255-Helpers!BN23))</f>
        <v>-0</v>
      </c>
      <c r="BQ338" s="58" t="n">
        <f aca="false">-MIN(BQ335+BQ336+BQ337,MAX(0,BQ255-Helpers!BO23))</f>
        <v>-0</v>
      </c>
      <c r="BR338" s="58" t="n">
        <f aca="false">-MIN(BR335+BR336+BR337,MAX(0,BR255-Helpers!BP23))</f>
        <v>-0</v>
      </c>
      <c r="BS338" s="58" t="n">
        <f aca="false">-MIN(BS335+BS336+BS337,MAX(0,BS255-Helpers!BQ23))</f>
        <v>-0</v>
      </c>
      <c r="BT338" s="58" t="n">
        <f aca="false">-MIN(BT335+BT336+BT337,MAX(0,BT255-Helpers!BR23))</f>
        <v>-0</v>
      </c>
      <c r="BU338" s="58" t="n">
        <f aca="false">-MIN(BU335+BU336+BU337,MAX(0,BU255-Helpers!BS23))</f>
        <v>-0</v>
      </c>
      <c r="BV338" s="58" t="n">
        <f aca="false">-MIN(BV335+BV336+BV337,MAX(0,BV255-Helpers!BT23))</f>
        <v>-0</v>
      </c>
      <c r="BW338" s="58" t="n">
        <f aca="false">-MIN(BW335+BW336+BW337,MAX(0,BW255-Helpers!BU23))</f>
        <v>-0</v>
      </c>
      <c r="BX338" s="58" t="n">
        <f aca="false">-MIN(BX335+BX336+BX337,MAX(0,BX255-Helpers!BV23))</f>
        <v>-0</v>
      </c>
      <c r="BY338" s="58" t="n">
        <f aca="false">-MIN(BY335+BY336+BY337,MAX(0,BY255-Helpers!BW23))</f>
        <v>-0</v>
      </c>
      <c r="BZ338" s="58" t="n">
        <f aca="false">-MIN(BZ335+BZ336+BZ337,MAX(0,BZ255-Helpers!BX23))</f>
        <v>-0</v>
      </c>
      <c r="CA338" s="58" t="n">
        <f aca="false">-MIN(CA335+CA336+CA337,MAX(0,CA255-Helpers!BY23))</f>
        <v>-0</v>
      </c>
      <c r="CB338" s="58" t="n">
        <f aca="false">-MIN(CB335+CB336+CB337,MAX(0,CB255-Helpers!BZ23))</f>
        <v>-0</v>
      </c>
      <c r="CC338" s="58" t="n">
        <f aca="false">-MIN(CC335+CC336+CC337,MAX(0,CC255-Helpers!CA23))</f>
        <v>-0</v>
      </c>
      <c r="CD338" s="58" t="n">
        <f aca="false">-MIN(CD335+CD336+CD337,MAX(0,CD255-Helpers!CB23))</f>
        <v>-0</v>
      </c>
      <c r="CE338" s="58" t="n">
        <f aca="false">-MIN(CE335+CE336+CE337,MAX(0,CE255-Helpers!CC23))</f>
        <v>-0</v>
      </c>
      <c r="CF338" s="58" t="n">
        <f aca="false">-MIN(CF335+CF336+CF337,MAX(0,CF255-Helpers!CD23))</f>
        <v>-0</v>
      </c>
      <c r="CG338" s="58" t="n">
        <f aca="false">-MIN(CG335+CG336+CG337,MAX(0,CG255-Helpers!CE23))</f>
        <v>-0</v>
      </c>
      <c r="CH338" s="58" t="n">
        <f aca="false">-MIN(CH335+CH336+CH337,MAX(0,CH255-Helpers!CF23))</f>
        <v>-0</v>
      </c>
      <c r="CI338" s="58" t="n">
        <f aca="false">-MIN(CI335+CI336+CI337,MAX(0,CI255-Helpers!CG23))</f>
        <v>-0</v>
      </c>
      <c r="CJ338" s="58" t="n">
        <f aca="false">-MIN(CJ335+CJ336+CJ337,MAX(0,CJ255-Helpers!CH23))</f>
        <v>-0</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0</v>
      </c>
      <c r="F339" s="60" t="n">
        <f aca="false">MAX(0,F335+F336+F337+F338)</f>
        <v>0</v>
      </c>
      <c r="G339" s="60" t="n">
        <f aca="false">MAX(0,G335+G336+G337+G338)</f>
        <v>0</v>
      </c>
      <c r="H339" s="60" t="n">
        <f aca="false">MAX(0,H335+H336+H337+H338)</f>
        <v>0</v>
      </c>
      <c r="I339" s="60" t="n">
        <f aca="false">MAX(0,I335+I336+I337+I338)</f>
        <v>0</v>
      </c>
      <c r="J339" s="60" t="n">
        <f aca="false">MAX(0,J335+J336+J337+J338)</f>
        <v>0</v>
      </c>
      <c r="K339" s="60" t="n">
        <f aca="false">MAX(0,K335+K336+K337+K338)</f>
        <v>0</v>
      </c>
      <c r="L339" s="60" t="n">
        <f aca="false">MAX(0,L335+L336+L337+L338)</f>
        <v>0</v>
      </c>
      <c r="M339" s="60" t="n">
        <f aca="false">MAX(0,M335+M336+M337+M338)</f>
        <v>0</v>
      </c>
      <c r="N339" s="60" t="n">
        <f aca="false">MAX(0,N335+N336+N337+N338)</f>
        <v>0</v>
      </c>
      <c r="O339" s="60" t="n">
        <f aca="false">MAX(0,O335+O336+O337+O338)</f>
        <v>0</v>
      </c>
      <c r="P339" s="60" t="n">
        <f aca="false">MAX(0,P335+P336+P337+P338)</f>
        <v>0</v>
      </c>
      <c r="Q339" s="60" t="n">
        <f aca="false">MAX(0,Q335+Q336+Q337+Q338)</f>
        <v>0</v>
      </c>
      <c r="R339" s="60" t="n">
        <f aca="false">MAX(0,R335+R336+R337+R338)</f>
        <v>0</v>
      </c>
      <c r="S339" s="60" t="n">
        <f aca="false">MAX(0,S335+S336+S337+S338)</f>
        <v>0</v>
      </c>
      <c r="T339" s="60" t="n">
        <f aca="false">MAX(0,T335+T336+T337+T338)</f>
        <v>0</v>
      </c>
      <c r="U339" s="60" t="n">
        <f aca="false">MAX(0,U335+U336+U337+U338)</f>
        <v>0</v>
      </c>
      <c r="V339" s="60" t="n">
        <f aca="false">MAX(0,V335+V336+V337+V338)</f>
        <v>0</v>
      </c>
      <c r="W339" s="60" t="n">
        <f aca="false">MAX(0,W335+W336+W337+W338)</f>
        <v>0</v>
      </c>
      <c r="X339" s="60" t="n">
        <f aca="false">MAX(0,X335+X336+X337+X338)</f>
        <v>0</v>
      </c>
      <c r="Y339" s="60" t="n">
        <f aca="false">MAX(0,Y335+Y336+Y337+Y338)</f>
        <v>0</v>
      </c>
      <c r="Z339" s="60" t="n">
        <f aca="false">MAX(0,Z335+Z336+Z337+Z338)</f>
        <v>0</v>
      </c>
      <c r="AA339" s="60" t="n">
        <f aca="false">MAX(0,AA335+AA336+AA337+AA338)</f>
        <v>0</v>
      </c>
      <c r="AB339" s="60" t="n">
        <f aca="false">MAX(0,AB335+AB336+AB337+AB338)</f>
        <v>0</v>
      </c>
      <c r="AC339" s="60" t="n">
        <f aca="false">MAX(0,AC335+AC336+AC337+AC338)</f>
        <v>0</v>
      </c>
      <c r="AD339" s="60" t="n">
        <f aca="false">MAX(0,AD335+AD336+AD337+AD338)</f>
        <v>0</v>
      </c>
      <c r="AE339" s="60" t="n">
        <f aca="false">MAX(0,AE335+AE336+AE337+AE338)</f>
        <v>0</v>
      </c>
      <c r="AF339" s="60" t="n">
        <f aca="false">MAX(0,AF335+AF336+AF337+AF338)</f>
        <v>0</v>
      </c>
      <c r="AG339" s="60" t="n">
        <f aca="false">MAX(0,AG335+AG336+AG337+AG338)</f>
        <v>0</v>
      </c>
      <c r="AH339" s="60" t="n">
        <f aca="false">MAX(0,AH335+AH336+AH337+AH338)</f>
        <v>0</v>
      </c>
      <c r="AI339" s="60" t="n">
        <f aca="false">MAX(0,AI335+AI336+AI337+AI338)</f>
        <v>0</v>
      </c>
      <c r="AJ339" s="60" t="n">
        <f aca="false">MAX(0,AJ335+AJ336+AJ337+AJ338)</f>
        <v>0</v>
      </c>
      <c r="AK339" s="60" t="n">
        <f aca="false">MAX(0,AK335+AK336+AK337+AK338)</f>
        <v>0</v>
      </c>
      <c r="AL339" s="60" t="n">
        <f aca="false">MAX(0,AL335+AL336+AL337+AL338)</f>
        <v>0</v>
      </c>
      <c r="AM339" s="60" t="n">
        <f aca="false">MAX(0,AM335+AM336+AM337+AM338)</f>
        <v>0</v>
      </c>
      <c r="AN339" s="60" t="n">
        <f aca="false">MAX(0,AN335+AN336+AN337+AN338)</f>
        <v>0</v>
      </c>
      <c r="AO339" s="60" t="n">
        <f aca="false">MAX(0,AO335+AO336+AO337+AO338)</f>
        <v>0</v>
      </c>
      <c r="AP339" s="60" t="n">
        <f aca="false">MAX(0,AP335+AP336+AP337+AP338)</f>
        <v>0</v>
      </c>
      <c r="AQ339" s="60" t="n">
        <f aca="false">MAX(0,AQ335+AQ336+AQ337+AQ338)</f>
        <v>0</v>
      </c>
      <c r="AR339" s="60" t="n">
        <f aca="false">MAX(0,AR335+AR336+AR337+AR338)</f>
        <v>0</v>
      </c>
      <c r="AS339" s="60" t="n">
        <f aca="false">MAX(0,AS335+AS336+AS337+AS338)</f>
        <v>0</v>
      </c>
      <c r="AT339" s="60" t="n">
        <f aca="false">MAX(0,AT335+AT336+AT337+AT338)</f>
        <v>0</v>
      </c>
      <c r="AU339" s="60" t="n">
        <f aca="false">MAX(0,AU335+AU336+AU337+AU338)</f>
        <v>0</v>
      </c>
      <c r="AV339" s="60" t="n">
        <f aca="false">MAX(0,AV335+AV336+AV337+AV338)</f>
        <v>0</v>
      </c>
      <c r="AW339" s="60" t="n">
        <f aca="false">MAX(0,AW335+AW336+AW337+AW338)</f>
        <v>0</v>
      </c>
      <c r="AX339" s="60" t="n">
        <f aca="false">MAX(0,AX335+AX336+AX337+AX338)</f>
        <v>0</v>
      </c>
      <c r="AY339" s="60" t="n">
        <f aca="false">MAX(0,AY335+AY336+AY337+AY338)</f>
        <v>0</v>
      </c>
      <c r="AZ339" s="60" t="n">
        <f aca="false">MAX(0,AZ335+AZ336+AZ337+AZ338)</f>
        <v>0</v>
      </c>
      <c r="BA339" s="60" t="n">
        <f aca="false">MAX(0,BA335+BA336+BA337+BA338)</f>
        <v>0</v>
      </c>
      <c r="BB339" s="60" t="n">
        <f aca="false">MAX(0,BB335+BB336+BB337+BB338)</f>
        <v>0</v>
      </c>
      <c r="BC339" s="60" t="n">
        <f aca="false">MAX(0,BC335+BC336+BC337+BC338)</f>
        <v>0</v>
      </c>
      <c r="BD339" s="60" t="n">
        <f aca="false">MAX(0,BD335+BD336+BD337+BD338)</f>
        <v>0</v>
      </c>
      <c r="BE339" s="60" t="n">
        <f aca="false">MAX(0,BE335+BE336+BE337+BE338)</f>
        <v>0</v>
      </c>
      <c r="BF339" s="60" t="n">
        <f aca="false">MAX(0,BF335+BF336+BF337+BF338)</f>
        <v>0</v>
      </c>
      <c r="BG339" s="60" t="n">
        <f aca="false">MAX(0,BG335+BG336+BG337+BG338)</f>
        <v>0</v>
      </c>
      <c r="BH339" s="60" t="n">
        <f aca="false">MAX(0,BH335+BH336+BH337+BH338)</f>
        <v>0</v>
      </c>
      <c r="BI339" s="60" t="n">
        <f aca="false">MAX(0,BI335+BI336+BI337+BI338)</f>
        <v>0</v>
      </c>
      <c r="BJ339" s="60" t="n">
        <f aca="false">MAX(0,BJ335+BJ336+BJ337+BJ338)</f>
        <v>0</v>
      </c>
      <c r="BK339" s="60" t="n">
        <f aca="false">MAX(0,BK335+BK336+BK337+BK338)</f>
        <v>0</v>
      </c>
      <c r="BL339" s="60" t="n">
        <f aca="false">MAX(0,BL335+BL336+BL337+BL338)</f>
        <v>0</v>
      </c>
      <c r="BM339" s="60" t="n">
        <f aca="false">MAX(0,BM335+BM336+BM337+BM338)</f>
        <v>0</v>
      </c>
      <c r="BN339" s="60" t="n">
        <f aca="false">MAX(0,BN335+BN336+BN337+BN338)</f>
        <v>0</v>
      </c>
      <c r="BO339" s="60" t="n">
        <f aca="false">MAX(0,BO335+BO336+BO337+BO338)</f>
        <v>0</v>
      </c>
      <c r="BP339" s="60" t="n">
        <f aca="false">MAX(0,BP335+BP336+BP337+BP338)</f>
        <v>0</v>
      </c>
      <c r="BQ339" s="60" t="n">
        <f aca="false">MAX(0,BQ335+BQ336+BQ337+BQ338)</f>
        <v>0</v>
      </c>
      <c r="BR339" s="60" t="n">
        <f aca="false">MAX(0,BR335+BR336+BR337+BR338)</f>
        <v>0</v>
      </c>
      <c r="BS339" s="60" t="n">
        <f aca="false">MAX(0,BS335+BS336+BS337+BS338)</f>
        <v>0</v>
      </c>
      <c r="BT339" s="60" t="n">
        <f aca="false">MAX(0,BT335+BT336+BT337+BT338)</f>
        <v>0</v>
      </c>
      <c r="BU339" s="60" t="n">
        <f aca="false">MAX(0,BU335+BU336+BU337+BU338)</f>
        <v>0</v>
      </c>
      <c r="BV339" s="60" t="n">
        <f aca="false">MAX(0,BV335+BV336+BV337+BV338)</f>
        <v>0</v>
      </c>
      <c r="BW339" s="60" t="n">
        <f aca="false">MAX(0,BW335+BW336+BW337+BW338)</f>
        <v>0</v>
      </c>
      <c r="BX339" s="60" t="n">
        <f aca="false">MAX(0,BX335+BX336+BX337+BX338)</f>
        <v>0</v>
      </c>
      <c r="BY339" s="60" t="n">
        <f aca="false">MAX(0,BY335+BY336+BY337+BY338)</f>
        <v>0</v>
      </c>
      <c r="BZ339" s="60" t="n">
        <f aca="false">MAX(0,BZ335+BZ336+BZ337+BZ338)</f>
        <v>0</v>
      </c>
      <c r="CA339" s="60" t="n">
        <f aca="false">MAX(0,CA335+CA336+CA337+CA338)</f>
        <v>0</v>
      </c>
      <c r="CB339" s="60" t="n">
        <f aca="false">MAX(0,CB335+CB336+CB337+CB338)</f>
        <v>0</v>
      </c>
      <c r="CC339" s="60" t="n">
        <f aca="false">MAX(0,CC335+CC336+CC337+CC338)</f>
        <v>0</v>
      </c>
      <c r="CD339" s="60" t="n">
        <f aca="false">MAX(0,CD335+CD336+CD337+CD338)</f>
        <v>0</v>
      </c>
      <c r="CE339" s="60" t="n">
        <f aca="false">MAX(0,CE335+CE336+CE337+CE338)</f>
        <v>0</v>
      </c>
      <c r="CF339" s="60" t="n">
        <f aca="false">MAX(0,CF335+CF336+CF337+CF338)</f>
        <v>0</v>
      </c>
      <c r="CG339" s="60" t="n">
        <f aca="false">MAX(0,CG335+CG336+CG337+CG338)</f>
        <v>0</v>
      </c>
      <c r="CH339" s="60" t="n">
        <f aca="false">MAX(0,CH335+CH336+CH337+CH338)</f>
        <v>0</v>
      </c>
      <c r="CI339" s="60" t="n">
        <f aca="false">MAX(0,CI335+CI336+CI337+CI338)</f>
        <v>0</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0</v>
      </c>
      <c r="R348" s="13" t="n">
        <f aca="false">Helpers!P14</f>
        <v>0</v>
      </c>
      <c r="S348" s="13" t="n">
        <f aca="false">Helpers!Q14</f>
        <v>0</v>
      </c>
      <c r="T348" s="13" t="n">
        <f aca="false">Helpers!R14</f>
        <v>0</v>
      </c>
      <c r="U348" s="13" t="n">
        <f aca="false">Helpers!S14</f>
        <v>0</v>
      </c>
      <c r="V348" s="13" t="n">
        <f aca="false">Helpers!T14</f>
        <v>0</v>
      </c>
      <c r="W348" s="13" t="n">
        <f aca="false">Helpers!U14</f>
        <v>0</v>
      </c>
      <c r="X348" s="13" t="n">
        <f aca="false">Helpers!V14</f>
        <v>0</v>
      </c>
      <c r="Y348" s="13" t="n">
        <f aca="false">Helpers!W14</f>
        <v>0</v>
      </c>
      <c r="Z348" s="13" t="n">
        <f aca="false">Helpers!X14</f>
        <v>0</v>
      </c>
      <c r="AA348" s="13" t="n">
        <f aca="false">Helpers!Y14</f>
        <v>0</v>
      </c>
      <c r="AB348" s="13" t="n">
        <f aca="false">Helpers!Z14</f>
        <v>0</v>
      </c>
      <c r="AC348" s="13" t="n">
        <f aca="false">Helpers!AA14</f>
        <v>0</v>
      </c>
      <c r="AD348" s="13" t="n">
        <f aca="false">Helpers!AB14</f>
        <v>0</v>
      </c>
      <c r="AE348" s="13" t="n">
        <f aca="false">Helpers!AC14</f>
        <v>0</v>
      </c>
      <c r="AF348" s="13" t="n">
        <f aca="false">Helpers!AD14</f>
        <v>0</v>
      </c>
      <c r="AG348" s="13" t="n">
        <f aca="false">Helpers!AE14</f>
        <v>0</v>
      </c>
      <c r="AH348" s="13" t="n">
        <f aca="false">Helpers!AF14</f>
        <v>0</v>
      </c>
      <c r="AI348" s="13" t="n">
        <f aca="false">Helpers!AG14</f>
        <v>0</v>
      </c>
      <c r="AJ348" s="13" t="n">
        <f aca="false">Helpers!AH14</f>
        <v>0</v>
      </c>
      <c r="AK348" s="13" t="n">
        <f aca="false">Helpers!AI14</f>
        <v>0</v>
      </c>
      <c r="AL348" s="13" t="n">
        <f aca="false">Helpers!AJ14</f>
        <v>0</v>
      </c>
      <c r="AM348" s="13" t="n">
        <f aca="false">Helpers!AK14</f>
        <v>0</v>
      </c>
      <c r="AN348" s="13" t="n">
        <f aca="false">Helpers!AL14</f>
        <v>0</v>
      </c>
      <c r="AO348" s="13" t="n">
        <f aca="false">Helpers!AM14</f>
        <v>0</v>
      </c>
      <c r="AP348" s="13" t="n">
        <f aca="false">Helpers!AN14</f>
        <v>0</v>
      </c>
      <c r="AQ348" s="13" t="n">
        <f aca="false">Helpers!AO14</f>
        <v>0</v>
      </c>
      <c r="AR348" s="13" t="n">
        <f aca="false">Helpers!AP14</f>
        <v>0</v>
      </c>
      <c r="AS348" s="13" t="n">
        <f aca="false">Helpers!AQ14</f>
        <v>0</v>
      </c>
      <c r="AT348" s="13" t="n">
        <f aca="false">Helpers!AR14</f>
        <v>0</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0</v>
      </c>
      <c r="AF349" s="13" t="n">
        <f aca="false">Helpers!AD15</f>
        <v>0</v>
      </c>
      <c r="AG349" s="13" t="n">
        <f aca="false">Helpers!AE15</f>
        <v>0</v>
      </c>
      <c r="AH349" s="13" t="n">
        <f aca="false">Helpers!AF15</f>
        <v>0</v>
      </c>
      <c r="AI349" s="13" t="n">
        <f aca="false">Helpers!AG15</f>
        <v>0</v>
      </c>
      <c r="AJ349" s="13" t="n">
        <f aca="false">Helpers!AH15</f>
        <v>0</v>
      </c>
      <c r="AK349" s="13" t="n">
        <f aca="false">Helpers!AI15</f>
        <v>0</v>
      </c>
      <c r="AL349" s="13" t="n">
        <f aca="false">Helpers!AJ15</f>
        <v>0</v>
      </c>
      <c r="AM349" s="13" t="n">
        <f aca="false">Helpers!AK15</f>
        <v>0</v>
      </c>
      <c r="AN349" s="13" t="n">
        <f aca="false">Helpers!AL15</f>
        <v>0</v>
      </c>
      <c r="AO349" s="13" t="n">
        <f aca="false">Helpers!AM15</f>
        <v>0</v>
      </c>
      <c r="AP349" s="13" t="n">
        <f aca="false">Helpers!AN15</f>
        <v>0</v>
      </c>
      <c r="AQ349" s="13" t="n">
        <f aca="false">Helpers!AO15</f>
        <v>0</v>
      </c>
      <c r="AR349" s="13" t="n">
        <f aca="false">Helpers!AP15</f>
        <v>0</v>
      </c>
      <c r="AS349" s="13" t="n">
        <f aca="false">Helpers!AQ15</f>
        <v>0</v>
      </c>
      <c r="AT349" s="13" t="n">
        <f aca="false">Helpers!AR15</f>
        <v>0</v>
      </c>
      <c r="AU349" s="13" t="n">
        <f aca="false">Helpers!AS15</f>
        <v>0</v>
      </c>
      <c r="AV349" s="13" t="n">
        <f aca="false">Helpers!AT15</f>
        <v>0</v>
      </c>
      <c r="AW349" s="13" t="n">
        <f aca="false">Helpers!AU15</f>
        <v>0</v>
      </c>
      <c r="AX349" s="13" t="n">
        <f aca="false">Helpers!AV15</f>
        <v>0</v>
      </c>
      <c r="AY349" s="13" t="n">
        <f aca="false">Helpers!AW15</f>
        <v>0</v>
      </c>
      <c r="AZ349" s="13" t="n">
        <f aca="false">Helpers!AX15</f>
        <v>0</v>
      </c>
      <c r="BA349" s="13" t="n">
        <f aca="false">Helpers!AY15</f>
        <v>0</v>
      </c>
      <c r="BB349" s="13" t="n">
        <f aca="false">Helpers!AZ15</f>
        <v>0</v>
      </c>
      <c r="BC349" s="13" t="n">
        <f aca="false">Helpers!BA15</f>
        <v>0</v>
      </c>
      <c r="BD349" s="13" t="n">
        <f aca="false">Helpers!BB15</f>
        <v>0</v>
      </c>
      <c r="BE349" s="13" t="n">
        <f aca="false">Helpers!BC15</f>
        <v>0</v>
      </c>
      <c r="BF349" s="13" t="n">
        <f aca="false">Helpers!BD15</f>
        <v>0</v>
      </c>
      <c r="BG349" s="13" t="n">
        <f aca="false">Helpers!BE15</f>
        <v>0</v>
      </c>
      <c r="BH349" s="13" t="n">
        <f aca="false">Helpers!BF15</f>
        <v>0</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77189993.1819724</v>
      </c>
      <c r="R350" s="30" t="n">
        <f aca="false">SUM(R342:R349)+R351</f>
        <v>72659481.0845662</v>
      </c>
      <c r="S350" s="30" t="n">
        <f aca="false">SUM(S342:S349)+S351</f>
        <v>67760044.5073005</v>
      </c>
      <c r="T350" s="30" t="n">
        <f aca="false">SUM(T342:T349)+T351</f>
        <v>62158325.0219758</v>
      </c>
      <c r="U350" s="30" t="n">
        <f aca="false">SUM(U342:U349)+U351</f>
        <v>57396770.6015363</v>
      </c>
      <c r="V350" s="30" t="n">
        <f aca="false">SUM(V342:V349)+V351</f>
        <v>51446278.888487</v>
      </c>
      <c r="W350" s="30" t="n">
        <f aca="false">SUM(W342:W349)+W351</f>
        <v>46780365.6765029</v>
      </c>
      <c r="X350" s="30" t="n">
        <f aca="false">SUM(X342:X349)+X351</f>
        <v>40790146.837078</v>
      </c>
      <c r="Y350" s="30" t="n">
        <f aca="false">SUM(Y342:Y349)+Y351</f>
        <v>36328367.21002</v>
      </c>
      <c r="Z350" s="30" t="n">
        <f aca="false">SUM(Z342:Z349)+Z351</f>
        <v>31034262.3287835</v>
      </c>
      <c r="AA350" s="30" t="n">
        <f aca="false">SUM(AA342:AA349)+AA351</f>
        <v>26454845.4617335</v>
      </c>
      <c r="AB350" s="30" t="n">
        <f aca="false">SUM(AB342:AB349)+AB351</f>
        <v>18889856.7578</v>
      </c>
      <c r="AC350" s="30" t="n">
        <f aca="false">SUM(AC342:AC349)+AC351</f>
        <v>17014347.47159</v>
      </c>
      <c r="AD350" s="30" t="n">
        <f aca="false">SUM(AD342:AD349)+AD351</f>
        <v>15090948.540385</v>
      </c>
      <c r="AE350" s="30" t="n">
        <f aca="false">SUM(AE342:AE349)+AE351</f>
        <v>13375707.75</v>
      </c>
      <c r="AF350" s="30" t="n">
        <f aca="false">SUM(AF342:AF349)+AF351</f>
        <v>11951889.75</v>
      </c>
      <c r="AG350" s="30" t="n">
        <f aca="false">SUM(AG342:AG349)+AG351</f>
        <v>9479263.81</v>
      </c>
      <c r="AH350" s="30" t="n">
        <f aca="false">SUM(AH342:AH349)+AH351</f>
        <v>7184499.57</v>
      </c>
      <c r="AI350" s="30" t="n">
        <f aca="false">SUM(AI342:AI349)+AI351</f>
        <v>4941005.43</v>
      </c>
      <c r="AJ350" s="30" t="n">
        <f aca="false">SUM(AJ342:AJ349)+AJ351</f>
        <v>3716991.2</v>
      </c>
      <c r="AK350" s="30" t="n">
        <f aca="false">SUM(AK342:AK349)+AK351</f>
        <v>2700888.54</v>
      </c>
      <c r="AL350" s="30" t="n">
        <f aca="false">SUM(AL342:AL349)+AL351</f>
        <v>1565814.84</v>
      </c>
      <c r="AM350" s="30" t="n">
        <f aca="false">SUM(AM342:AM349)+AM351</f>
        <v>331958.4</v>
      </c>
      <c r="AN350" s="30" t="n">
        <f aca="false">SUM(AN342:AN349)+AN351</f>
        <v>0</v>
      </c>
      <c r="AO350" s="30" t="n">
        <f aca="false">SUM(AO342:AO349)+AO351</f>
        <v>0</v>
      </c>
      <c r="AP350" s="30" t="n">
        <f aca="false">SUM(AP342:AP349)+AP351</f>
        <v>0</v>
      </c>
      <c r="AQ350" s="30" t="n">
        <f aca="false">SUM(AQ342:AQ349)+AQ351</f>
        <v>0</v>
      </c>
      <c r="AR350" s="30" t="n">
        <f aca="false">SUM(AR342:AR349)+AR351</f>
        <v>0</v>
      </c>
      <c r="AS350" s="30" t="n">
        <f aca="false">SUM(AS342:AS349)+AS351</f>
        <v>0</v>
      </c>
      <c r="AT350" s="30" t="n">
        <f aca="false">SUM(AT342:AT349)+AT351</f>
        <v>0</v>
      </c>
      <c r="AU350" s="30" t="n">
        <f aca="false">SUM(AU342:AU349)+AU351</f>
        <v>0</v>
      </c>
      <c r="AV350" s="30" t="n">
        <f aca="false">SUM(AV342:AV349)+AV351</f>
        <v>0</v>
      </c>
      <c r="AW350" s="30" t="n">
        <f aca="false">SUM(AW342:AW349)+AW351</f>
        <v>0</v>
      </c>
      <c r="AX350" s="30" t="n">
        <f aca="false">SUM(AX342:AX349)+AX351</f>
        <v>0</v>
      </c>
      <c r="AY350" s="30" t="n">
        <f aca="false">SUM(AY342:AY349)+AY351</f>
        <v>0</v>
      </c>
      <c r="AZ350" s="30" t="n">
        <f aca="false">SUM(AZ342:AZ349)+AZ351</f>
        <v>0</v>
      </c>
      <c r="BA350" s="30" t="n">
        <f aca="false">SUM(BA342:BA349)+BA351</f>
        <v>0</v>
      </c>
      <c r="BB350" s="30" t="n">
        <f aca="false">SUM(BB342:BB349)+BB351</f>
        <v>0</v>
      </c>
      <c r="BC350" s="30" t="n">
        <f aca="false">SUM(BC342:BC349)+BC351</f>
        <v>0</v>
      </c>
      <c r="BD350" s="30" t="n">
        <f aca="false">SUM(BD342:BD349)+BD351</f>
        <v>0</v>
      </c>
      <c r="BE350" s="30" t="n">
        <f aca="false">SUM(BE342:BE349)+BE351</f>
        <v>0</v>
      </c>
      <c r="BF350" s="30" t="n">
        <f aca="false">SUM(BF342:BF349)+BF351</f>
        <v>0</v>
      </c>
      <c r="BG350" s="30" t="n">
        <f aca="false">SUM(BG342:BG349)+BG351</f>
        <v>0</v>
      </c>
      <c r="BH350" s="30" t="n">
        <f aca="false">SUM(BH342:BH349)+BH351</f>
        <v>0</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1143817.67352964</v>
      </c>
      <c r="P355" s="13" t="n">
        <f aca="false">O363</f>
        <v>1424378.16243575</v>
      </c>
      <c r="Q355" s="13" t="n">
        <f aca="false">P363</f>
        <v>1739781.35069781</v>
      </c>
      <c r="R355" s="13" t="n">
        <f aca="false">Q363</f>
        <v>2062283.05042654</v>
      </c>
      <c r="S355" s="13" t="n">
        <f aca="false">R363</f>
        <v>2338864.60365527</v>
      </c>
      <c r="T355" s="13" t="n">
        <f aca="false">S363</f>
        <v>2559058.240884</v>
      </c>
      <c r="U355" s="13" t="n">
        <f aca="false">T363</f>
        <v>2685282.29461273</v>
      </c>
      <c r="V355" s="13" t="n">
        <f aca="false">U363</f>
        <v>3015305.39484146</v>
      </c>
      <c r="W355" s="13" t="n">
        <f aca="false">V363</f>
        <v>3313765.09672404</v>
      </c>
      <c r="X355" s="13" t="n">
        <f aca="false">W363</f>
        <v>3675122.93595276</v>
      </c>
      <c r="Y355" s="13" t="n">
        <f aca="false">X363</f>
        <v>3826178.1811815</v>
      </c>
      <c r="Z355" s="13" t="n">
        <f aca="false">Y363</f>
        <v>4155783.84125638</v>
      </c>
      <c r="AA355" s="13" t="n">
        <f aca="false">Z363</f>
        <v>4331932.01656203</v>
      </c>
      <c r="AB355" s="13" t="n">
        <f aca="false">AA363</f>
        <v>4751171.2086227</v>
      </c>
      <c r="AC355" s="13" t="n">
        <f aca="false">AB363</f>
        <v>5204162.93996363</v>
      </c>
      <c r="AD355" s="13" t="n">
        <f aca="false">AC363</f>
        <v>5414400.34085506</v>
      </c>
      <c r="AE355" s="13" t="n">
        <f aca="false">AD363</f>
        <v>5416687.85392602</v>
      </c>
      <c r="AF355" s="13" t="n">
        <f aca="false">AE363</f>
        <v>5442378.67649698</v>
      </c>
      <c r="AG355" s="13" t="n">
        <f aca="false">AF363</f>
        <v>5587373.25247691</v>
      </c>
      <c r="AH355" s="13" t="n">
        <f aca="false">AG363</f>
        <v>5827279.94052522</v>
      </c>
      <c r="AI355" s="13" t="n">
        <f aca="false">AH363</f>
        <v>5926468.4964922</v>
      </c>
      <c r="AJ355" s="13" t="n">
        <f aca="false">AI363</f>
        <v>5889272.07299728</v>
      </c>
      <c r="AK355" s="13" t="n">
        <f aca="false">AJ363</f>
        <v>5973636.35409172</v>
      </c>
      <c r="AL355" s="13" t="n">
        <f aca="false">AK363</f>
        <v>5948092.3261266</v>
      </c>
      <c r="AM355" s="13" t="n">
        <f aca="false">AL363</f>
        <v>5667498.3758526</v>
      </c>
      <c r="AN355" s="13" t="n">
        <f aca="false">AM363</f>
        <v>5400620.40657861</v>
      </c>
      <c r="AO355" s="13" t="n">
        <f aca="false">AN363</f>
        <v>5408420.21580461</v>
      </c>
      <c r="AP355" s="13" t="n">
        <f aca="false">AO363</f>
        <v>5044442.78320513</v>
      </c>
      <c r="AQ355" s="13" t="n">
        <f aca="false">AP363</f>
        <v>4640536.74060565</v>
      </c>
      <c r="AR355" s="13" t="n">
        <f aca="false">AQ363</f>
        <v>4236630.69800617</v>
      </c>
      <c r="AS355" s="13" t="n">
        <f aca="false">AR363</f>
        <v>3832724.65540669</v>
      </c>
      <c r="AT355" s="13" t="n">
        <f aca="false">AS363</f>
        <v>3428818.61280721</v>
      </c>
      <c r="AU355" s="13" t="n">
        <f aca="false">AT363</f>
        <v>3024912.57020773</v>
      </c>
      <c r="AV355" s="13" t="n">
        <f aca="false">AU363</f>
        <v>2621006.52760825</v>
      </c>
      <c r="AW355" s="13" t="n">
        <f aca="false">AV363</f>
        <v>2217100.48500877</v>
      </c>
      <c r="AX355" s="13" t="n">
        <f aca="false">AW363</f>
        <v>1813194.44240929</v>
      </c>
      <c r="AY355" s="13" t="n">
        <f aca="false">AX363</f>
        <v>1409288.39980981</v>
      </c>
      <c r="AZ355" s="13" t="n">
        <f aca="false">AY363</f>
        <v>1005382.35721033</v>
      </c>
      <c r="BA355" s="13" t="n">
        <f aca="false">AZ363</f>
        <v>601476.314610845</v>
      </c>
      <c r="BB355" s="13" t="n">
        <f aca="false">BA363</f>
        <v>189492.151159376</v>
      </c>
      <c r="BC355" s="13" t="n">
        <f aca="false">BB363</f>
        <v>-222492.012292094</v>
      </c>
      <c r="BD355" s="13" t="n">
        <f aca="false">BC363</f>
        <v>-634476.175743564</v>
      </c>
      <c r="BE355" s="13" t="n">
        <f aca="false">BD363</f>
        <v>-1046460.33919503</v>
      </c>
      <c r="BF355" s="13" t="n">
        <f aca="false">BE363</f>
        <v>-1458444.5026465</v>
      </c>
      <c r="BG355" s="13" t="n">
        <f aca="false">BF363</f>
        <v>-1870428.66609797</v>
      </c>
      <c r="BH355" s="13" t="n">
        <f aca="false">BG363</f>
        <v>-2282412.82954944</v>
      </c>
      <c r="BI355" s="13" t="n">
        <f aca="false">BH363</f>
        <v>-2694396.99300091</v>
      </c>
      <c r="BJ355" s="13" t="n">
        <f aca="false">BI363</f>
        <v>-3106381.15645238</v>
      </c>
      <c r="BK355" s="13" t="n">
        <f aca="false">BJ363</f>
        <v>-3518365.31990385</v>
      </c>
      <c r="BL355" s="13" t="n">
        <f aca="false">BK363</f>
        <v>-3930349.48335532</v>
      </c>
      <c r="BM355" s="13" t="n">
        <f aca="false">BL363</f>
        <v>-4342333.64680679</v>
      </c>
      <c r="BN355" s="13" t="n">
        <f aca="false">BM363</f>
        <v>-4762557.49352729</v>
      </c>
      <c r="BO355" s="13" t="n">
        <f aca="false">BN363</f>
        <v>-5182781.34024779</v>
      </c>
      <c r="BP355" s="13" t="n">
        <f aca="false">BO363</f>
        <v>-5603005.18696829</v>
      </c>
      <c r="BQ355" s="13" t="n">
        <f aca="false">BP363</f>
        <v>-6023229.03368879</v>
      </c>
      <c r="BR355" s="13" t="n">
        <f aca="false">BQ363</f>
        <v>-6443452.88040928</v>
      </c>
      <c r="BS355" s="13" t="n">
        <f aca="false">BR363</f>
        <v>-6863676.72712978</v>
      </c>
      <c r="BT355" s="13" t="n">
        <f aca="false">BS363</f>
        <v>-7283900.57385028</v>
      </c>
      <c r="BU355" s="13" t="n">
        <f aca="false">BT363</f>
        <v>-7704124.42057078</v>
      </c>
      <c r="BV355" s="13" t="n">
        <f aca="false">BU363</f>
        <v>-8124348.26729128</v>
      </c>
      <c r="BW355" s="13" t="n">
        <f aca="false">BV363</f>
        <v>-8544572.11401178</v>
      </c>
      <c r="BX355" s="13" t="n">
        <f aca="false">BW363</f>
        <v>-8964795.96073228</v>
      </c>
      <c r="BY355" s="13" t="n">
        <f aca="false">BX363</f>
        <v>-9385019.80745278</v>
      </c>
      <c r="BZ355" s="13" t="n">
        <f aca="false">BY363</f>
        <v>-9813648.13110768</v>
      </c>
      <c r="CA355" s="13" t="n">
        <f aca="false">BZ363</f>
        <v>-10242276.4547626</v>
      </c>
      <c r="CB355" s="13" t="n">
        <f aca="false">CA363</f>
        <v>-10670904.7784175</v>
      </c>
      <c r="CC355" s="13" t="n">
        <f aca="false">CB363</f>
        <v>-11099533.1020724</v>
      </c>
      <c r="CD355" s="13" t="n">
        <f aca="false">CC363</f>
        <v>-11528161.4257273</v>
      </c>
      <c r="CE355" s="13" t="n">
        <f aca="false">CD363</f>
        <v>-11956789.7493822</v>
      </c>
      <c r="CF355" s="13" t="n">
        <f aca="false">CE363</f>
        <v>-12385418.0730371</v>
      </c>
      <c r="CG355" s="13" t="n">
        <f aca="false">CF363</f>
        <v>-12814046.396692</v>
      </c>
      <c r="CH355" s="13" t="n">
        <f aca="false">CG363</f>
        <v>-13242674.720347</v>
      </c>
      <c r="CI355" s="13" t="n">
        <f aca="false">CH363</f>
        <v>-13671303.0440019</v>
      </c>
      <c r="CJ355" s="13" t="n">
        <f aca="false">CI363</f>
        <v>-14099931.3676568</v>
      </c>
      <c r="CK355" s="13" t="n">
        <f aca="false">CJ363</f>
        <v>-14528559.6913117</v>
      </c>
      <c r="CL355" s="13" t="n">
        <f aca="false">CK363</f>
        <v>-14965760.5814397</v>
      </c>
      <c r="CM355" s="13" t="n">
        <f aca="false">CL363</f>
        <v>-15402961.4715677</v>
      </c>
      <c r="CN355" s="13" t="n">
        <f aca="false">CM363</f>
        <v>-15840162.3616957</v>
      </c>
      <c r="CO355" s="13" t="n">
        <f aca="false">CN363</f>
        <v>-16277363.2518237</v>
      </c>
      <c r="CP355" s="13" t="n">
        <f aca="false">CO363</f>
        <v>-16714564.1419517</v>
      </c>
      <c r="CQ355" s="13" t="n">
        <f aca="false">CP363</f>
        <v>-17151765.0320797</v>
      </c>
      <c r="CR355" s="13" t="n">
        <f aca="false">CQ363</f>
        <v>-17588965.9222077</v>
      </c>
      <c r="CS355" s="13" t="n">
        <f aca="false">CR363</f>
        <v>-18026166.8123357</v>
      </c>
      <c r="CT355" s="13" t="n">
        <f aca="false">CS363</f>
        <v>-18463367.7024637</v>
      </c>
      <c r="CU355" s="13" t="n">
        <f aca="false">CT363</f>
        <v>-18848788.4329803</v>
      </c>
      <c r="CV355" s="13" t="n">
        <f aca="false">CU363</f>
        <v>-19234209.1634969</v>
      </c>
      <c r="CW355" s="13" t="n">
        <f aca="false">CV363</f>
        <v>-19619629.8940134</v>
      </c>
      <c r="CX355" s="13" t="n">
        <f aca="false">CW363</f>
        <v>-20012759.0391403</v>
      </c>
      <c r="CY355" s="13" t="n">
        <f aca="false">CX363</f>
        <v>-20405888.1842672</v>
      </c>
      <c r="CZ355" s="13" t="n">
        <f aca="false">CY363</f>
        <v>-20799017.3293941</v>
      </c>
      <c r="DA355" s="13" t="n">
        <f aca="false">CZ363</f>
        <v>-21192146.474521</v>
      </c>
      <c r="DB355" s="13" t="n">
        <f aca="false">DA363</f>
        <v>-21585275.6196479</v>
      </c>
      <c r="DC355" s="13" t="n">
        <f aca="false">DB363</f>
        <v>-21978404.7647748</v>
      </c>
      <c r="DD355" s="13" t="n">
        <f aca="false">DC363</f>
        <v>-22371533.9099017</v>
      </c>
      <c r="DE355" s="13" t="n">
        <f aca="false">DD363</f>
        <v>-22764663.0550285</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301830.579119715</v>
      </c>
      <c r="R356" s="13" t="n">
        <f aca="false">R237</f>
        <v>245912.539119715</v>
      </c>
      <c r="S356" s="13" t="n">
        <f aca="false">S237</f>
        <v>231693.479119715</v>
      </c>
      <c r="T356" s="13" t="n">
        <f aca="false">T237</f>
        <v>308671.759119715</v>
      </c>
      <c r="U356" s="13" t="n">
        <f aca="false">U237</f>
        <v>202942.469119716</v>
      </c>
      <c r="V356" s="13" t="n">
        <f aca="false">V237</f>
        <v>285193.905273559</v>
      </c>
      <c r="W356" s="13" t="n">
        <f aca="false">W237</f>
        <v>187353.759119716</v>
      </c>
      <c r="X356" s="13" t="n">
        <f aca="false">X237</f>
        <v>361969.299119715</v>
      </c>
      <c r="Y356" s="13" t="n">
        <f aca="false">Y237</f>
        <v>201840.632965869</v>
      </c>
      <c r="Z356" s="13" t="n">
        <f aca="false">Z237</f>
        <v>342807.457196638</v>
      </c>
      <c r="AA356" s="13" t="n">
        <f aca="false">AA237</f>
        <v>403969.187480855</v>
      </c>
      <c r="AB356" s="13" t="n">
        <f aca="false">AB237</f>
        <v>220901.77307266</v>
      </c>
      <c r="AC356" s="13" t="n">
        <f aca="false">AC237</f>
        <v>2534.10663972085</v>
      </c>
      <c r="AD356" s="13" t="n">
        <f aca="false">AD237</f>
        <v>47407.0935627979</v>
      </c>
      <c r="AE356" s="13" t="n">
        <f aca="false">AE237</f>
        <v>38339.1035627977</v>
      </c>
      <c r="AF356" s="13" t="n">
        <f aca="false">AF237</f>
        <v>207958.91767751</v>
      </c>
      <c r="AG356" s="13" t="n">
        <f aca="false">AG237</f>
        <v>118056.005929035</v>
      </c>
      <c r="AH356" s="13" t="n">
        <f aca="false">AH237</f>
        <v>-18637.3170328645</v>
      </c>
      <c r="AI356" s="13" t="n">
        <f aca="false">AI237</f>
        <v>-24804.1870328646</v>
      </c>
      <c r="AJ356" s="13" t="n">
        <f aca="false">AJ237</f>
        <v>-19433.0874651146</v>
      </c>
      <c r="AK356" s="13" t="n">
        <f aca="false">AK237</f>
        <v>-273767.506274</v>
      </c>
      <c r="AL356" s="13" t="n">
        <f aca="false">AL237</f>
        <v>-259457.436274</v>
      </c>
      <c r="AM356" s="13" t="n">
        <f aca="false">AM237</f>
        <v>-247575.656274</v>
      </c>
      <c r="AN356" s="13" t="n">
        <f aca="false">AN237</f>
        <v>-356057.706274</v>
      </c>
      <c r="AO356" s="13" t="n">
        <f aca="false">AO237</f>
        <v>-403906.04259948</v>
      </c>
      <c r="AP356" s="13" t="n">
        <f aca="false">AP237</f>
        <v>-403906.04259948</v>
      </c>
      <c r="AQ356" s="13" t="n">
        <f aca="false">AQ237</f>
        <v>-403906.04259948</v>
      </c>
      <c r="AR356" s="13" t="n">
        <f aca="false">AR237</f>
        <v>-403906.04259948</v>
      </c>
      <c r="AS356" s="13" t="n">
        <f aca="false">AS237</f>
        <v>-403906.04259948</v>
      </c>
      <c r="AT356" s="13" t="n">
        <f aca="false">AT237</f>
        <v>-403906.04259948</v>
      </c>
      <c r="AU356" s="13" t="n">
        <f aca="false">AU237</f>
        <v>-403906.04259948</v>
      </c>
      <c r="AV356" s="13" t="n">
        <f aca="false">AV237</f>
        <v>-403906.04259948</v>
      </c>
      <c r="AW356" s="13" t="n">
        <f aca="false">AW237</f>
        <v>-403906.04259948</v>
      </c>
      <c r="AX356" s="13" t="n">
        <f aca="false">AX237</f>
        <v>-403906.04259948</v>
      </c>
      <c r="AY356" s="13" t="n">
        <f aca="false">AY237</f>
        <v>-403906.04259948</v>
      </c>
      <c r="AZ356" s="13" t="n">
        <f aca="false">AZ237</f>
        <v>-403906.04259948</v>
      </c>
      <c r="BA356" s="13" t="n">
        <f aca="false">BA237</f>
        <v>-411984.16345147</v>
      </c>
      <c r="BB356" s="13" t="n">
        <f aca="false">BB237</f>
        <v>-411984.16345147</v>
      </c>
      <c r="BC356" s="13" t="n">
        <f aca="false">BC237</f>
        <v>-411984.16345147</v>
      </c>
      <c r="BD356" s="13" t="n">
        <f aca="false">BD237</f>
        <v>-411984.16345147</v>
      </c>
      <c r="BE356" s="13" t="n">
        <f aca="false">BE237</f>
        <v>-411984.16345147</v>
      </c>
      <c r="BF356" s="13" t="n">
        <f aca="false">BF237</f>
        <v>-411984.16345147</v>
      </c>
      <c r="BG356" s="13" t="n">
        <f aca="false">BG237</f>
        <v>-411984.16345147</v>
      </c>
      <c r="BH356" s="13" t="n">
        <f aca="false">BH237</f>
        <v>-411984.16345147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61527.830000001</v>
      </c>
      <c r="R359" s="13" t="n">
        <f aca="false">Q199-R199-Q197-IF(Q$3&lt;6,0,-SUMPRODUCT('Deal Terms'!$E$4:$E$47*('Deal Terms'!$G$4:$G$47=0),Q$13:Q$56+Q$60:Q$103))</f>
        <v>69359.7600000007</v>
      </c>
      <c r="S359" s="13" t="n">
        <f aca="false">R199-S199-R197-IF(R$3&lt;6,0,-SUMPRODUCT('Deal Terms'!$E$4:$E$47*('Deal Terms'!$G$4:$G$47=0),R$13:R$56+R$60:R$103))</f>
        <v>-2617.45000000019</v>
      </c>
      <c r="T359" s="13" t="n">
        <f aca="false">S199-T199-S197-IF(S$3&lt;6,0,-SUMPRODUCT('Deal Terms'!$E$4:$E$47*('Deal Terms'!$G$4:$G$47=0),S$13:S$56+S$60:S$103))</f>
        <v>-138434.09</v>
      </c>
      <c r="U359" s="13" t="n">
        <f aca="false">T199-U199-T197-IF(T$3&lt;6,0,-SUMPRODUCT('Deal Terms'!$E$4:$E$47*('Deal Terms'!$G$4:$G$47=0),T$13:T$56+T$60:T$103))</f>
        <v>84856.669999999</v>
      </c>
      <c r="V359" s="13" t="n">
        <f aca="false">U199-V199-U197-IF(U$3&lt;6,0,-SUMPRODUCT('Deal Terms'!$E$4:$E$47*('Deal Terms'!$G$4:$G$47=0),U$13:U$56+U$60:U$103))</f>
        <v>-81881.0599999977</v>
      </c>
      <c r="W359" s="13" t="n">
        <f aca="false">V199-W199-V197-IF(V$3&lt;6,0,-SUMPRODUCT('Deal Terms'!$E$4:$E$47*('Deal Terms'!$G$4:$G$47=0),V$13:V$56+V$60:V$103))</f>
        <v>115119.269999999</v>
      </c>
      <c r="X359" s="13" t="n">
        <f aca="false">W199-X199-W197-IF(W$3&lt;6,0,-SUMPRODUCT('Deal Terms'!$E$4:$E$47*('Deal Terms'!$G$4:$G$47=0),W$13:W$56+W$60:W$103))</f>
        <v>-168830.219999999</v>
      </c>
      <c r="Y359" s="13" t="n">
        <f aca="false">X199-Y199-X197-IF(X$3&lt;6,0,-SUMPRODUCT('Deal Terms'!$E$4:$E$47*('Deal Terms'!$G$4:$G$47=0),X$13:X$56+X$60:X$103))</f>
        <v>161760.819999999</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186331.722100502</v>
      </c>
      <c r="AC359" s="13" t="n">
        <f aca="false">AB199-AC199-AB197-IF(AB$3&lt;6,0,-SUMPRODUCT('Deal Terms'!$E$4:$E$47*('Deal Terms'!$G$4:$G$47=0),AB$13:AB$56+AB$60:AB$103))</f>
        <v>228725.469243555</v>
      </c>
      <c r="AD359" s="13" t="n">
        <f aca="false">AC199-AD199-AC197-IF(AC$3&lt;6,0,-SUMPRODUCT('Deal Terms'!$E$4:$E$47*('Deal Terms'!$G$4:$G$47=0),AC$13:AC$56+AC$60:AC$103))</f>
        <v>-22949.9100000002</v>
      </c>
      <c r="AE359" s="13" t="n">
        <f aca="false">AD199-AE199-AD197-IF(AD$3&lt;6,0,-SUMPRODUCT('Deal Terms'!$E$4:$E$47*('Deal Terms'!$G$4:$G$47=0),AD$13:AD$56+AD$60:AD$103))</f>
        <v>9067.99000000022</v>
      </c>
      <c r="AF359" s="13" t="n">
        <f aca="false">AE199-AF199-AE197-IF(AE$3&lt;6,0,-SUMPRODUCT('Deal Terms'!$E$4:$E$47*('Deal Terms'!$G$4:$G$47=0),AE$13:AE$56+AE$60:AE$103))</f>
        <v>-169619.814114713</v>
      </c>
      <c r="AG359" s="13" t="n">
        <f aca="false">AF199-AG199-AF197-IF(AF$3&lt;6,0,-SUMPRODUCT('Deal Terms'!$E$4:$E$47*('Deal Terms'!$G$4:$G$47=0),AF$13:AF$56+AF$60:AF$103))</f>
        <v>89902.9117484749</v>
      </c>
      <c r="AH359" s="13" t="n">
        <f aca="false">AG199-AH199-AG197-IF(AG$3&lt;6,0,-SUMPRODUCT('Deal Terms'!$E$4:$E$47*('Deal Terms'!$G$4:$G$47=0),AG$13:AG$56+AG$60:AG$103))</f>
        <v>136693.3229619</v>
      </c>
      <c r="AI359" s="13" t="n">
        <f aca="false">AH199-AI199-AH197-IF(AH$3&lt;6,0,-SUMPRODUCT('Deal Terms'!$E$4:$E$47*('Deal Terms'!$G$4:$G$47=0),AH$13:AH$56+AH$60:AH$103))</f>
        <v>6166.87000000011</v>
      </c>
      <c r="AJ359" s="13" t="n">
        <f aca="false">AI199-AJ199-AI197-IF(AI$3&lt;6,0,-SUMPRODUCT('Deal Terms'!$E$4:$E$47*('Deal Terms'!$G$4:$G$47=0),AI$13:AI$56+AI$60:AI$103))</f>
        <v>-5371.09956775</v>
      </c>
      <c r="AK359" s="13" t="n">
        <f aca="false">AJ199-AK199-AJ197-IF(AJ$3&lt;6,0,-SUMPRODUCT('Deal Terms'!$E$4:$E$47*('Deal Terms'!$G$4:$G$47=0),AJ$13:AJ$56+AJ$60:AJ$103))</f>
        <v>254334.418808885</v>
      </c>
      <c r="AL359" s="13" t="n">
        <f aca="false">AK199-AL199-AK197-IF(AK$3&lt;6,0,-SUMPRODUCT('Deal Terms'!$E$4:$E$47*('Deal Terms'!$G$4:$G$47=0),AK$13:AK$56+AK$60:AK$103))</f>
        <v>-14310.0700000001</v>
      </c>
      <c r="AM359" s="13" t="n">
        <f aca="false">AL199-AM199-AL197-IF(AL$3&lt;6,0,-SUMPRODUCT('Deal Terms'!$E$4:$E$47*('Deal Terms'!$G$4:$G$47=0),AL$13:AL$56+AL$60:AL$103))</f>
        <v>-11881.7799999998</v>
      </c>
      <c r="AN359" s="13" t="n">
        <f aca="false">AM199-AN199-AM197-IF(AM$3&lt;6,0,-SUMPRODUCT('Deal Terms'!$E$4:$E$47*('Deal Terms'!$G$4:$G$47=0),AM$13:AM$56+AM$60:AM$103))</f>
        <v>108482.05</v>
      </c>
      <c r="AO359" s="13" t="n">
        <f aca="false">AN199-AO199-AN197-IF(AN$3&lt;6,0,-SUMPRODUCT('Deal Terms'!$E$4:$E$47*('Deal Terms'!$G$4:$G$47=0),AN$13:AN$56+AN$60:AN$103))</f>
        <v>39928.61</v>
      </c>
      <c r="AP359" s="13" t="n">
        <f aca="false">AO199-AP199-AO197-IF(AO$3&lt;6,0,-SUMPRODUCT('Deal Terms'!$E$4:$E$47*('Deal Terms'!$G$4:$G$47=0),AO$13:AO$56+AO$60:AO$103))</f>
        <v>0</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0</v>
      </c>
      <c r="AU359" s="13" t="n">
        <f aca="false">AT199-AU199-AT197-IF(AT$3&lt;6,0,-SUMPRODUCT('Deal Terms'!$E$4:$E$47*('Deal Terms'!$G$4:$G$47=0),AT$13:AT$56+AT$60:AT$103))</f>
        <v>0</v>
      </c>
      <c r="AV359" s="13" t="n">
        <f aca="false">AU199-AV199-AU197-IF(AU$3&lt;6,0,-SUMPRODUCT('Deal Terms'!$E$4:$E$47*('Deal Terms'!$G$4:$G$47=0),AU$13:AU$56+AU$60:AU$103))</f>
        <v>0</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0</v>
      </c>
      <c r="BI359" s="13" t="n">
        <f aca="false">BH199-BI199-BH197-IF(BH$3&lt;6,0,-SUMPRODUCT('Deal Terms'!$E$4:$E$47*('Deal Terms'!$G$4:$G$47=0),BH$13:BH$56+BH$60:BH$103))</f>
        <v>0</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-40856.7093909858</v>
      </c>
      <c r="R361" s="13" t="n">
        <f aca="false">-0.05*(R10+R11)</f>
        <v>-38690.7458909858</v>
      </c>
      <c r="S361" s="13" t="n">
        <f aca="false">-0.05*(S10+S11)</f>
        <v>-39309.8753909858</v>
      </c>
      <c r="T361" s="13" t="n">
        <f aca="false">-0.05*(T10+T11)</f>
        <v>-44013.6153909858</v>
      </c>
      <c r="U361" s="13" t="n">
        <f aca="false">-0.05*(U10+U11)</f>
        <v>-38591.5668909858</v>
      </c>
      <c r="V361" s="13" t="n">
        <f aca="false">-0.05*(V10+V11)</f>
        <v>-42305.9353909858</v>
      </c>
      <c r="W361" s="13" t="n">
        <f aca="false">-0.05*(W10+W11)</f>
        <v>-33353.0568909858</v>
      </c>
      <c r="X361" s="13" t="n">
        <f aca="false">-0.05*(X10+X11)</f>
        <v>-42083.8338909858</v>
      </c>
      <c r="Y361" s="13" t="n">
        <f aca="false">-0.05*(Y10+Y11)</f>
        <v>-33995.7928909858</v>
      </c>
      <c r="Z361" s="13" t="n">
        <f aca="false">-0.05*(Z10+Z11)</f>
        <v>-40313.1018909858</v>
      </c>
      <c r="AA361" s="13" t="n">
        <f aca="false">-0.05*(AA10+AA11)</f>
        <v>-41775.0345590428</v>
      </c>
      <c r="AB361" s="13" t="n">
        <f aca="false">-0.05*(AB10+AB11)</f>
        <v>-32458.4484540177</v>
      </c>
      <c r="AC361" s="13" t="n">
        <f aca="false">-0.05*(AC10+AC11)</f>
        <v>-21022.1749918399</v>
      </c>
      <c r="AD361" s="13" t="n">
        <f aca="false">-0.05*(AD10+AD11)</f>
        <v>-22169.6704918399</v>
      </c>
      <c r="AE361" s="13" t="n">
        <f aca="false">-0.05*(AE10+AE11)</f>
        <v>-21716.2709918399</v>
      </c>
      <c r="AF361" s="13" t="n">
        <f aca="false">-0.05*(AF10+AF11)</f>
        <v>-30197.2616975755</v>
      </c>
      <c r="AG361" s="13" t="n">
        <f aca="false">-0.05*(AG10+AG11)</f>
        <v>-25702.1161101518</v>
      </c>
      <c r="AH361" s="13" t="n">
        <f aca="false">-0.05*(AH10+AH11)</f>
        <v>-18867.4499620568</v>
      </c>
      <c r="AI361" s="13" t="n">
        <f aca="false">-0.05*(AI10+AI11)</f>
        <v>-18559.1064620568</v>
      </c>
      <c r="AJ361" s="13" t="n">
        <f aca="false">-0.05*(AJ10+AJ11)</f>
        <v>-18827.6614404443</v>
      </c>
      <c r="AK361" s="13" t="n">
        <f aca="false">-0.05*(AK10+AK11)</f>
        <v>-6110.9405</v>
      </c>
      <c r="AL361" s="13" t="n">
        <f aca="false">-0.05*(AL10+AL11)</f>
        <v>-6826.444</v>
      </c>
      <c r="AM361" s="13" t="n">
        <f aca="false">-0.05*(AM10+AM11)</f>
        <v>-7420.533</v>
      </c>
      <c r="AN361" s="13" t="n">
        <f aca="false">-0.05*(AN10+AN11)</f>
        <v>-1996.4305</v>
      </c>
      <c r="AO361" s="13" t="n">
        <f aca="false">-0.05*(AO10+AO11)</f>
        <v>-0</v>
      </c>
      <c r="AP361" s="13" t="n">
        <f aca="false">-0.05*(AP10+AP11)</f>
        <v>-0</v>
      </c>
      <c r="AQ361" s="13" t="n">
        <f aca="false">-0.05*(AQ10+AQ11)</f>
        <v>-0</v>
      </c>
      <c r="AR361" s="13" t="n">
        <f aca="false">-0.05*(AR10+AR11)</f>
        <v>-0</v>
      </c>
      <c r="AS361" s="13" t="n">
        <f aca="false">-0.05*(AS10+AS11)</f>
        <v>-0</v>
      </c>
      <c r="AT361" s="13" t="n">
        <f aca="false">-0.05*(AT10+AT11)</f>
        <v>-0</v>
      </c>
      <c r="AU361" s="13" t="n">
        <f aca="false">-0.05*(AU10+AU11)</f>
        <v>-0</v>
      </c>
      <c r="AV361" s="13" t="n">
        <f aca="false">-0.05*(AV10+AV11)</f>
        <v>-0</v>
      </c>
      <c r="AW361" s="13" t="n">
        <f aca="false">-0.05*(AW10+AW11)</f>
        <v>-0</v>
      </c>
      <c r="AX361" s="13" t="n">
        <f aca="false">-0.05*(AX10+AX11)</f>
        <v>-0</v>
      </c>
      <c r="AY361" s="13" t="n">
        <f aca="false">-0.05*(AY10+AY11)</f>
        <v>-0</v>
      </c>
      <c r="AZ361" s="13" t="n">
        <f aca="false">-0.05*(AZ10+AZ11)</f>
        <v>-0</v>
      </c>
      <c r="BA361" s="13" t="n">
        <f aca="false">-0.05*(BA10+BA11)</f>
        <v>-0</v>
      </c>
      <c r="BB361" s="13" t="n">
        <f aca="false">-0.05*(BB10+BB11)</f>
        <v>-0</v>
      </c>
      <c r="BC361" s="13" t="n">
        <f aca="false">-0.05*(BC10+BC11)</f>
        <v>-0</v>
      </c>
      <c r="BD361" s="13" t="n">
        <f aca="false">-0.05*(BD10+BD11)</f>
        <v>-0</v>
      </c>
      <c r="BE361" s="13" t="n">
        <f aca="false">-0.05*(BE10+BE11)</f>
        <v>-0</v>
      </c>
      <c r="BF361" s="13" t="n">
        <f aca="false">-0.05*(BF10+BF11)</f>
        <v>-0</v>
      </c>
      <c r="BG361" s="13" t="n">
        <f aca="false">-0.05*(BG10+BG11)</f>
        <v>-0</v>
      </c>
      <c r="BH361" s="13" t="n">
        <f aca="false">-0.05*(BH10+BH11)</f>
        <v>-0</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0</v>
      </c>
      <c r="AI362" s="13" t="n">
        <f aca="false">SUMIFS(Retention!$E$2:$E$44,Retention!$F$2:$F$44,AI$3)</f>
        <v>0</v>
      </c>
      <c r="AJ362" s="13" t="n">
        <f aca="false">SUMIFS(Retention!$E$2:$E$44,Retention!$F$2:$F$44,AJ$3)</f>
        <v>127996.12956775</v>
      </c>
      <c r="AK362" s="13" t="n">
        <f aca="false">SUMIFS(Retention!$E$2:$E$44,Retention!$F$2:$F$44,AK$3)</f>
        <v>0</v>
      </c>
      <c r="AL362" s="13" t="n">
        <f aca="false">SUMIFS(Retention!$E$2:$E$44,Retention!$F$2:$F$44,AL$3)</f>
        <v>0</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0</v>
      </c>
      <c r="AU362" s="13" t="n">
        <f aca="false">SUMIFS(Retention!$E$2:$E$44,Retention!$F$2:$F$44,AU$3)</f>
        <v>0</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0</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1143817.67352964</v>
      </c>
      <c r="O363" s="68" t="n">
        <f aca="false">SUM(O355:O362)</f>
        <v>1424378.16243575</v>
      </c>
      <c r="P363" s="68" t="n">
        <f aca="false">SUM(P355:P362)</f>
        <v>1739781.35069781</v>
      </c>
      <c r="Q363" s="68" t="n">
        <f aca="false">SUM(Q355:Q362)</f>
        <v>2062283.05042654</v>
      </c>
      <c r="R363" s="68" t="n">
        <f aca="false">SUM(R355:R362)</f>
        <v>2338864.60365527</v>
      </c>
      <c r="S363" s="68" t="n">
        <f aca="false">SUM(S355:S362)</f>
        <v>2559058.240884</v>
      </c>
      <c r="T363" s="68" t="n">
        <f aca="false">SUM(T355:T362)</f>
        <v>2685282.29461273</v>
      </c>
      <c r="U363" s="68" t="n">
        <f aca="false">SUM(U355:U362)</f>
        <v>3015305.39484146</v>
      </c>
      <c r="V363" s="68" t="n">
        <f aca="false">SUM(V355:V362)</f>
        <v>3313765.09672404</v>
      </c>
      <c r="W363" s="68" t="n">
        <f aca="false">SUM(W355:W362)</f>
        <v>3675122.93595276</v>
      </c>
      <c r="X363" s="68" t="n">
        <f aca="false">SUM(X355:X362)</f>
        <v>3826178.1811815</v>
      </c>
      <c r="Y363" s="68" t="n">
        <f aca="false">SUM(Y355:Y362)</f>
        <v>4155783.84125638</v>
      </c>
      <c r="Z363" s="68" t="n">
        <f aca="false">SUM(Z355:Z362)</f>
        <v>4331932.01656203</v>
      </c>
      <c r="AA363" s="68" t="n">
        <f aca="false">SUM(AA355:AA362)</f>
        <v>4751171.2086227</v>
      </c>
      <c r="AB363" s="68" t="n">
        <f aca="false">SUM(AB355:AB362)</f>
        <v>5204162.93996363</v>
      </c>
      <c r="AC363" s="68" t="n">
        <f aca="false">SUM(AC355:AC362)</f>
        <v>5414400.34085506</v>
      </c>
      <c r="AD363" s="68" t="n">
        <f aca="false">SUM(AD355:AD362)</f>
        <v>5416687.85392602</v>
      </c>
      <c r="AE363" s="68" t="n">
        <f aca="false">SUM(AE355:AE362)</f>
        <v>5442378.67649698</v>
      </c>
      <c r="AF363" s="68" t="n">
        <f aca="false">SUM(AF355:AF362)</f>
        <v>5587373.25247691</v>
      </c>
      <c r="AG363" s="68" t="n">
        <f aca="false">SUM(AG355:AG362)</f>
        <v>5827279.94052522</v>
      </c>
      <c r="AH363" s="68" t="n">
        <f aca="false">SUM(AH355:AH362)</f>
        <v>5926468.4964922</v>
      </c>
      <c r="AI363" s="68" t="n">
        <f aca="false">SUM(AI355:AI362)</f>
        <v>5889272.07299728</v>
      </c>
      <c r="AJ363" s="68" t="n">
        <f aca="false">SUM(AJ355:AJ362)</f>
        <v>5973636.35409172</v>
      </c>
      <c r="AK363" s="68" t="n">
        <f aca="false">SUM(AK355:AK362)</f>
        <v>5948092.3261266</v>
      </c>
      <c r="AL363" s="68" t="n">
        <f aca="false">SUM(AL355:AL362)</f>
        <v>5667498.3758526</v>
      </c>
      <c r="AM363" s="68" t="n">
        <f aca="false">SUM(AM355:AM362)</f>
        <v>5400620.40657861</v>
      </c>
      <c r="AN363" s="68" t="n">
        <f aca="false">SUM(AN355:AN362)</f>
        <v>5408420.21580461</v>
      </c>
      <c r="AO363" s="68" t="n">
        <f aca="false">SUM(AO355:AO362)</f>
        <v>5044442.78320513</v>
      </c>
      <c r="AP363" s="68" t="n">
        <f aca="false">SUM(AP355:AP362)</f>
        <v>4640536.74060565</v>
      </c>
      <c r="AQ363" s="68" t="n">
        <f aca="false">SUM(AQ355:AQ362)</f>
        <v>4236630.69800617</v>
      </c>
      <c r="AR363" s="68" t="n">
        <f aca="false">SUM(AR355:AR362)</f>
        <v>3832724.65540669</v>
      </c>
      <c r="AS363" s="68" t="n">
        <f aca="false">SUM(AS355:AS362)</f>
        <v>3428818.61280721</v>
      </c>
      <c r="AT363" s="68" t="n">
        <f aca="false">SUM(AT355:AT362)</f>
        <v>3024912.57020773</v>
      </c>
      <c r="AU363" s="68" t="n">
        <f aca="false">SUM(AU355:AU362)</f>
        <v>2621006.52760825</v>
      </c>
      <c r="AV363" s="68" t="n">
        <f aca="false">SUM(AV355:AV362)</f>
        <v>2217100.48500877</v>
      </c>
      <c r="AW363" s="68" t="n">
        <f aca="false">SUM(AW355:AW362)</f>
        <v>1813194.44240929</v>
      </c>
      <c r="AX363" s="68" t="n">
        <f aca="false">SUM(AX355:AX362)</f>
        <v>1409288.39980981</v>
      </c>
      <c r="AY363" s="68" t="n">
        <f aca="false">SUM(AY355:AY362)</f>
        <v>1005382.35721033</v>
      </c>
      <c r="AZ363" s="68" t="n">
        <f aca="false">SUM(AZ355:AZ362)</f>
        <v>601476.314610845</v>
      </c>
      <c r="BA363" s="68" t="n">
        <f aca="false">SUM(BA355:BA362)</f>
        <v>189492.151159376</v>
      </c>
      <c r="BB363" s="68" t="n">
        <f aca="false">SUM(BB355:BB362)</f>
        <v>-222492.012292094</v>
      </c>
      <c r="BC363" s="68" t="n">
        <f aca="false">SUM(BC355:BC362)</f>
        <v>-634476.175743564</v>
      </c>
      <c r="BD363" s="68" t="n">
        <f aca="false">SUM(BD355:BD362)</f>
        <v>-1046460.33919503</v>
      </c>
      <c r="BE363" s="68" t="n">
        <f aca="false">SUM(BE355:BE362)</f>
        <v>-1458444.5026465</v>
      </c>
      <c r="BF363" s="68" t="n">
        <f aca="false">SUM(BF355:BF362)</f>
        <v>-1870428.66609797</v>
      </c>
      <c r="BG363" s="68" t="n">
        <f aca="false">SUM(BG355:BG362)</f>
        <v>-2282412.82954944</v>
      </c>
      <c r="BH363" s="68" t="n">
        <f aca="false">SUM(BH355:BH362)</f>
        <v>-2694396.99300091</v>
      </c>
      <c r="BI363" s="68" t="n">
        <f aca="false">SUM(BI355:BI362)</f>
        <v>-3106381.15645238</v>
      </c>
      <c r="BJ363" s="68" t="n">
        <f aca="false">SUM(BJ355:BJ362)</f>
        <v>-3518365.31990385</v>
      </c>
      <c r="BK363" s="68" t="n">
        <f aca="false">SUM(BK355:BK362)</f>
        <v>-3930349.48335532</v>
      </c>
      <c r="BL363" s="68" t="n">
        <f aca="false">SUM(BL355:BL362)</f>
        <v>-4342333.64680679</v>
      </c>
      <c r="BM363" s="68" t="n">
        <f aca="false">SUM(BM355:BM362)</f>
        <v>-4762557.49352729</v>
      </c>
      <c r="BN363" s="68" t="n">
        <f aca="false">SUM(BN355:BN362)</f>
        <v>-5182781.34024779</v>
      </c>
      <c r="BO363" s="68" t="n">
        <f aca="false">SUM(BO355:BO362)</f>
        <v>-5603005.18696829</v>
      </c>
      <c r="BP363" s="68" t="n">
        <f aca="false">SUM(BP355:BP362)</f>
        <v>-6023229.03368879</v>
      </c>
      <c r="BQ363" s="68" t="n">
        <f aca="false">SUM(BQ355:BQ362)</f>
        <v>-6443452.88040928</v>
      </c>
      <c r="BR363" s="68" t="n">
        <f aca="false">SUM(BR355:BR362)</f>
        <v>-6863676.72712978</v>
      </c>
      <c r="BS363" s="68" t="n">
        <f aca="false">SUM(BS355:BS362)</f>
        <v>-7283900.57385028</v>
      </c>
      <c r="BT363" s="68" t="n">
        <f aca="false">SUM(BT355:BT362)</f>
        <v>-7704124.42057078</v>
      </c>
      <c r="BU363" s="68" t="n">
        <f aca="false">SUM(BU355:BU362)</f>
        <v>-8124348.26729128</v>
      </c>
      <c r="BV363" s="68" t="n">
        <f aca="false">SUM(BV355:BV362)</f>
        <v>-8544572.11401178</v>
      </c>
      <c r="BW363" s="68" t="n">
        <f aca="false">SUM(BW355:BW362)</f>
        <v>-8964795.96073228</v>
      </c>
      <c r="BX363" s="68" t="n">
        <f aca="false">SUM(BX355:BX362)</f>
        <v>-9385019.80745278</v>
      </c>
      <c r="BY363" s="68" t="n">
        <f aca="false">SUM(BY355:BY362)</f>
        <v>-9813648.13110768</v>
      </c>
      <c r="BZ363" s="68" t="n">
        <f aca="false">SUM(BZ355:BZ362)</f>
        <v>-10242276.4547626</v>
      </c>
      <c r="CA363" s="68" t="n">
        <f aca="false">SUM(CA355:CA362)</f>
        <v>-10670904.7784175</v>
      </c>
      <c r="CB363" s="68" t="n">
        <f aca="false">SUM(CB355:CB362)</f>
        <v>-11099533.1020724</v>
      </c>
      <c r="CC363" s="68" t="n">
        <f aca="false">SUM(CC355:CC362)</f>
        <v>-11528161.4257273</v>
      </c>
      <c r="CD363" s="68" t="n">
        <f aca="false">SUM(CD355:CD362)</f>
        <v>-11956789.7493822</v>
      </c>
      <c r="CE363" s="68" t="n">
        <f aca="false">SUM(CE355:CE362)</f>
        <v>-12385418.0730371</v>
      </c>
      <c r="CF363" s="68" t="n">
        <f aca="false">SUM(CF355:CF362)</f>
        <v>-12814046.396692</v>
      </c>
      <c r="CG363" s="68" t="n">
        <f aca="false">SUM(CG355:CG362)</f>
        <v>-13242674.720347</v>
      </c>
      <c r="CH363" s="68" t="n">
        <f aca="false">SUM(CH355:CH362)</f>
        <v>-13671303.0440019</v>
      </c>
      <c r="CI363" s="68" t="n">
        <f aca="false">SUM(CI355:CI362)</f>
        <v>-14099931.3676568</v>
      </c>
      <c r="CJ363" s="68" t="n">
        <f aca="false">SUM(CJ355:CJ362)</f>
        <v>-14528559.6913117</v>
      </c>
      <c r="CK363" s="68" t="n">
        <f aca="false">SUM(CK355:CK362)</f>
        <v>-14965760.5814397</v>
      </c>
      <c r="CL363" s="68" t="n">
        <f aca="false">SUM(CL355:CL362)</f>
        <v>-15402961.4715677</v>
      </c>
      <c r="CM363" s="68" t="n">
        <f aca="false">SUM(CM355:CM362)</f>
        <v>-15840162.3616957</v>
      </c>
      <c r="CN363" s="68" t="n">
        <f aca="false">SUM(CN355:CN362)</f>
        <v>-16277363.2518237</v>
      </c>
      <c r="CO363" s="68" t="n">
        <f aca="false">SUM(CO355:CO362)</f>
        <v>-16714564.1419517</v>
      </c>
      <c r="CP363" s="68" t="n">
        <f aca="false">SUM(CP355:CP362)</f>
        <v>-17151765.0320797</v>
      </c>
      <c r="CQ363" s="68" t="n">
        <f aca="false">SUM(CQ355:CQ362)</f>
        <v>-17588965.9222077</v>
      </c>
      <c r="CR363" s="68" t="n">
        <f aca="false">SUM(CR355:CR362)</f>
        <v>-18026166.8123357</v>
      </c>
      <c r="CS363" s="68" t="n">
        <f aca="false">SUM(CS355:CS362)</f>
        <v>-18463367.7024637</v>
      </c>
      <c r="CT363" s="68" t="n">
        <f aca="false">SUM(CT355:CT362)</f>
        <v>-18848788.4329803</v>
      </c>
      <c r="CU363" s="68" t="n">
        <f aca="false">SUM(CU355:CU362)</f>
        <v>-19234209.1634969</v>
      </c>
      <c r="CV363" s="68" t="n">
        <f aca="false">SUM(CV355:CV362)</f>
        <v>-19619629.8940134</v>
      </c>
      <c r="CW363" s="68" t="n">
        <f aca="false">SUM(CW355:CW362)</f>
        <v>-20012759.0391403</v>
      </c>
      <c r="CX363" s="68" t="n">
        <f aca="false">SUM(CX355:CX362)</f>
        <v>-20405888.1842672</v>
      </c>
      <c r="CY363" s="68" t="n">
        <f aca="false">SUM(CY355:CY362)</f>
        <v>-20799017.3293941</v>
      </c>
      <c r="CZ363" s="68" t="n">
        <f aca="false">SUM(CZ355:CZ362)</f>
        <v>-21192146.474521</v>
      </c>
      <c r="DA363" s="68" t="n">
        <f aca="false">SUM(DA355:DA362)</f>
        <v>-21585275.6196479</v>
      </c>
      <c r="DB363" s="68" t="n">
        <f aca="false">SUM(DB355:DB362)</f>
        <v>-21978404.7647748</v>
      </c>
      <c r="DC363" s="68" t="n">
        <f aca="false">SUM(DC355:DC362)</f>
        <v>-22371533.9099017</v>
      </c>
      <c r="DD363" s="68" t="n">
        <f aca="false">SUM(DD355:DD362)</f>
        <v>-22764663.0550285</v>
      </c>
      <c r="DE363" s="68" t="n">
        <f aca="false">SUM(DE355:DE362)</f>
        <v>-23157792.2001554</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-186092.864786967</v>
      </c>
      <c r="P366" s="13" t="n">
        <f aca="false">O371</f>
        <v>-435771.158646616</v>
      </c>
      <c r="Q366" s="13" t="n">
        <f aca="false">P371</f>
        <v>-684949.452506266</v>
      </c>
      <c r="R366" s="13" t="n">
        <f aca="false">Q371</f>
        <v>-937720.069032581</v>
      </c>
      <c r="S366" s="13" t="n">
        <f aca="false">R371</f>
        <v>-1190490.6855589</v>
      </c>
      <c r="T366" s="13" t="n">
        <f aca="false">S371</f>
        <v>-1443261.30208521</v>
      </c>
      <c r="U366" s="13" t="n">
        <f aca="false">T371</f>
        <v>-1721538.16861153</v>
      </c>
      <c r="V366" s="13" t="n">
        <f aca="false">U371</f>
        <v>-1998215.03513784</v>
      </c>
      <c r="W366" s="13" t="n">
        <f aca="false">V371</f>
        <v>-2274891.90166416</v>
      </c>
      <c r="X366" s="13" t="n">
        <f aca="false">W371</f>
        <v>-2551568.76819048</v>
      </c>
      <c r="Y366" s="13" t="n">
        <f aca="false">X371</f>
        <v>-2828784.43471679</v>
      </c>
      <c r="Z366" s="13" t="n">
        <f aca="false">Y371</f>
        <v>-3048625.10124311</v>
      </c>
      <c r="AA366" s="13" t="n">
        <f aca="false">Z371</f>
        <v>-3333017.76776942</v>
      </c>
      <c r="AB366" s="13" t="n">
        <f aca="false">AA371</f>
        <v>-3867410.43429574</v>
      </c>
      <c r="AC366" s="13" t="n">
        <f aca="false">AB371</f>
        <v>-4094428.10082206</v>
      </c>
      <c r="AD366" s="13" t="n">
        <f aca="false">AC371</f>
        <v>-4382484.93646837</v>
      </c>
      <c r="AE366" s="13" t="n">
        <f aca="false">AD371</f>
        <v>-4670541.77211469</v>
      </c>
      <c r="AF366" s="13" t="n">
        <f aca="false">AE371</f>
        <v>-4881205.0380396</v>
      </c>
      <c r="AG366" s="13" t="n">
        <f aca="false">AF371</f>
        <v>-5057261.87368592</v>
      </c>
      <c r="AH366" s="13" t="n">
        <f aca="false">AG371</f>
        <v>-5236476.60406907</v>
      </c>
      <c r="AI366" s="13" t="n">
        <f aca="false">AH371</f>
        <v>-5418849.22918907</v>
      </c>
      <c r="AJ366" s="13" t="n">
        <f aca="false">AI371</f>
        <v>-5610721.85430907</v>
      </c>
      <c r="AK366" s="13" t="n">
        <f aca="false">AJ371</f>
        <v>-5802594.47942907</v>
      </c>
      <c r="AL366" s="13" t="n">
        <f aca="false">AK371</f>
        <v>-5994467.10454907</v>
      </c>
      <c r="AM366" s="13" t="n">
        <f aca="false">AL371</f>
        <v>-6186339.72966907</v>
      </c>
      <c r="AN366" s="13" t="n">
        <f aca="false">AM371</f>
        <v>-6378212.35478907</v>
      </c>
      <c r="AO366" s="13" t="n">
        <f aca="false">AN371</f>
        <v>-6570084.97990907</v>
      </c>
      <c r="AP366" s="13" t="n">
        <f aca="false">AO371</f>
        <v>-6765695.05753147</v>
      </c>
      <c r="AQ366" s="13" t="n">
        <f aca="false">AP371</f>
        <v>-6961305.13515387</v>
      </c>
      <c r="AR366" s="13" t="n">
        <f aca="false">AQ371</f>
        <v>-7156915.21277627</v>
      </c>
      <c r="AS366" s="13" t="n">
        <f aca="false">AR371</f>
        <v>-7352525.29039867</v>
      </c>
      <c r="AT366" s="13" t="n">
        <f aca="false">AS371</f>
        <v>-7548135.36802107</v>
      </c>
      <c r="AU366" s="13" t="n">
        <f aca="false">AT371</f>
        <v>-7743745.44564347</v>
      </c>
      <c r="AV366" s="13" t="n">
        <f aca="false">AU371</f>
        <v>-7939355.52326587</v>
      </c>
      <c r="AW366" s="13" t="n">
        <f aca="false">AV371</f>
        <v>-8134965.60088827</v>
      </c>
      <c r="AX366" s="13" t="n">
        <f aca="false">AW371</f>
        <v>-8330575.67851067</v>
      </c>
      <c r="AY366" s="13" t="n">
        <f aca="false">AX371</f>
        <v>-8526185.75613307</v>
      </c>
      <c r="AZ366" s="13" t="n">
        <f aca="false">AY371</f>
        <v>-8721795.83375547</v>
      </c>
      <c r="BA366" s="13" t="n">
        <f aca="false">AZ371</f>
        <v>-8917405.91137787</v>
      </c>
      <c r="BB366" s="13" t="n">
        <f aca="false">BA371</f>
        <v>-9116828.19055272</v>
      </c>
      <c r="BC366" s="13" t="n">
        <f aca="false">BB371</f>
        <v>-9316250.46972757</v>
      </c>
      <c r="BD366" s="13" t="n">
        <f aca="false">BC371</f>
        <v>-9515672.74890241</v>
      </c>
      <c r="BE366" s="13" t="n">
        <f aca="false">BD371</f>
        <v>-9715095.02807726</v>
      </c>
      <c r="BF366" s="13" t="n">
        <f aca="false">BE371</f>
        <v>-9914517.30725211</v>
      </c>
      <c r="BG366" s="13" t="n">
        <f aca="false">BF371</f>
        <v>-10113939.586427</v>
      </c>
      <c r="BH366" s="13" t="n">
        <f aca="false">BG371</f>
        <v>-10313361.8656018</v>
      </c>
      <c r="BI366" s="13" t="n">
        <f aca="false">BH371</f>
        <v>-10512784.1447767</v>
      </c>
      <c r="BJ366" s="13" t="n">
        <f aca="false">BI371</f>
        <v>-10712206.4239515</v>
      </c>
      <c r="BK366" s="13" t="n">
        <f aca="false">BJ371</f>
        <v>-10911628.7031263</v>
      </c>
      <c r="BL366" s="13" t="n">
        <f aca="false">BK371</f>
        <v>-11111050.9823012</v>
      </c>
      <c r="BM366" s="13" t="n">
        <f aca="false">BL371</f>
        <v>-11310473.261476</v>
      </c>
      <c r="BN366" s="13" t="n">
        <f aca="false">BM371</f>
        <v>-11513783.9862344</v>
      </c>
      <c r="BO366" s="13" t="n">
        <f aca="false">BN371</f>
        <v>-11717094.7109927</v>
      </c>
      <c r="BP366" s="13" t="n">
        <f aca="false">BO371</f>
        <v>-11920405.4357511</v>
      </c>
      <c r="BQ366" s="13" t="n">
        <f aca="false">BP371</f>
        <v>-12123716.1605094</v>
      </c>
      <c r="BR366" s="13" t="n">
        <f aca="false">BQ371</f>
        <v>-12327026.8852678</v>
      </c>
      <c r="BS366" s="13" t="n">
        <f aca="false">BR371</f>
        <v>-12477087.2600261</v>
      </c>
      <c r="BT366" s="13" t="n">
        <f aca="false">BS371</f>
        <v>-12680397.9847845</v>
      </c>
      <c r="BU366" s="13" t="n">
        <f aca="false">BT371</f>
        <v>-12883708.7095428</v>
      </c>
      <c r="BV366" s="13" t="n">
        <f aca="false">BU371</f>
        <v>-13019257.4343012</v>
      </c>
      <c r="BW366" s="13" t="n">
        <f aca="false">BV371</f>
        <v>-13222568.1590595</v>
      </c>
      <c r="BX366" s="13" t="n">
        <f aca="false">BW371</f>
        <v>-13425878.8838178</v>
      </c>
      <c r="BY366" s="13" t="n">
        <f aca="false">BX371</f>
        <v>-13561427.6085762</v>
      </c>
      <c r="BZ366" s="13" t="n">
        <f aca="false">BY371</f>
        <v>-13768704.5478297</v>
      </c>
      <c r="CA366" s="13" t="n">
        <f aca="false">BZ371</f>
        <v>-13975981.4870832</v>
      </c>
      <c r="CB366" s="13" t="n">
        <f aca="false">CA371</f>
        <v>-14115496.4263367</v>
      </c>
      <c r="CC366" s="13" t="n">
        <f aca="false">CB371</f>
        <v>-14322773.3655902</v>
      </c>
      <c r="CD366" s="13" t="n">
        <f aca="false">CC371</f>
        <v>-14530050.3048438</v>
      </c>
      <c r="CE366" s="13" t="n">
        <f aca="false">CD371</f>
        <v>-14660828.2440973</v>
      </c>
      <c r="CF366" s="13" t="n">
        <f aca="false">CE371</f>
        <v>-14868105.1833508</v>
      </c>
      <c r="CG366" s="13" t="n">
        <f aca="false">CF371</f>
        <v>-15075382.1226043</v>
      </c>
      <c r="CH366" s="13" t="n">
        <f aca="false">CG371</f>
        <v>-15206160.0618578</v>
      </c>
      <c r="CI366" s="13" t="n">
        <f aca="false">CH371</f>
        <v>-15413437.0011113</v>
      </c>
      <c r="CJ366" s="13" t="n">
        <f aca="false">CI371</f>
        <v>-15620713.9403648</v>
      </c>
      <c r="CK366" s="13" t="n">
        <f aca="false">CJ371</f>
        <v>-15751491.8796183</v>
      </c>
      <c r="CL366" s="13" t="n">
        <f aca="false">CK371</f>
        <v>-15886315.3576569</v>
      </c>
      <c r="CM366" s="13" t="n">
        <f aca="false">CL371</f>
        <v>-16021138.8356955</v>
      </c>
      <c r="CN366" s="13" t="n">
        <f aca="false">CM371</f>
        <v>-16155962.3137341</v>
      </c>
      <c r="CO366" s="13" t="n">
        <f aca="false">CN371</f>
        <v>-16290785.7917727</v>
      </c>
      <c r="CP366" s="13" t="n">
        <f aca="false">CO371</f>
        <v>-16425609.2698113</v>
      </c>
      <c r="CQ366" s="13" t="n">
        <f aca="false">CP371</f>
        <v>-16560432.7478498</v>
      </c>
      <c r="CR366" s="13" t="n">
        <f aca="false">CQ371</f>
        <v>-16695256.2258884</v>
      </c>
      <c r="CS366" s="13" t="n">
        <f aca="false">CR371</f>
        <v>-16830079.703927</v>
      </c>
      <c r="CT366" s="13" t="n">
        <f aca="false">CS371</f>
        <v>-16964903.1819656</v>
      </c>
      <c r="CU366" s="13" t="n">
        <f aca="false">CT371</f>
        <v>-17090704.6913228</v>
      </c>
      <c r="CV366" s="13" t="n">
        <f aca="false">CU371</f>
        <v>-17216506.2006801</v>
      </c>
      <c r="CW366" s="13" t="n">
        <f aca="false">CV371</f>
        <v>-17342307.7100374</v>
      </c>
      <c r="CX366" s="13" t="n">
        <f aca="false">CW371</f>
        <v>-17472055.2295818</v>
      </c>
      <c r="CY366" s="13" t="n">
        <f aca="false">CX371</f>
        <v>-17601802.7491262</v>
      </c>
      <c r="CZ366" s="13" t="n">
        <f aca="false">CY371</f>
        <v>-17731550.2686706</v>
      </c>
      <c r="DA366" s="13" t="n">
        <f aca="false">CZ371</f>
        <v>-17861297.788215</v>
      </c>
      <c r="DB366" s="13" t="n">
        <f aca="false">DA371</f>
        <v>-17991045.3077594</v>
      </c>
      <c r="DC366" s="13" t="n">
        <f aca="false">DB371</f>
        <v>-18120792.8273038</v>
      </c>
      <c r="DD366" s="13" t="n">
        <f aca="false">DC371</f>
        <v>-18250540.3468482</v>
      </c>
      <c r="DE366" s="13" t="n">
        <f aca="false">DD371</f>
        <v>-18380287.8663926</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-135693.331453634</v>
      </c>
      <c r="O367" s="13" t="n">
        <f aca="false">O293</f>
        <v>-137678.293859649</v>
      </c>
      <c r="P367" s="13" t="n">
        <f aca="false">P293</f>
        <v>-137178.293859649</v>
      </c>
      <c r="Q367" s="13" t="n">
        <f aca="false">Q293</f>
        <v>-140770.616526316</v>
      </c>
      <c r="R367" s="13" t="n">
        <f aca="false">R293</f>
        <v>-140770.616526316</v>
      </c>
      <c r="S367" s="13" t="n">
        <f aca="false">S293</f>
        <v>-140770.616526316</v>
      </c>
      <c r="T367" s="13" t="n">
        <f aca="false">T293</f>
        <v>-166276.866526316</v>
      </c>
      <c r="U367" s="13" t="n">
        <f aca="false">U293</f>
        <v>-164676.866526316</v>
      </c>
      <c r="V367" s="13" t="n">
        <f aca="false">V293</f>
        <v>-164676.866526316</v>
      </c>
      <c r="W367" s="13" t="n">
        <f aca="false">W293</f>
        <v>-164676.866526316</v>
      </c>
      <c r="X367" s="13" t="n">
        <f aca="false">X293</f>
        <v>-165215.666526316</v>
      </c>
      <c r="Y367" s="13" t="n">
        <f aca="false">Y293</f>
        <v>-107840.666526316</v>
      </c>
      <c r="Z367" s="13" t="n">
        <f aca="false">Z293</f>
        <v>-172392.666526316</v>
      </c>
      <c r="AA367" s="13" t="n">
        <f aca="false">AA293</f>
        <v>-172392.666526316</v>
      </c>
      <c r="AB367" s="13" t="n">
        <f aca="false">AB293</f>
        <v>-115017.666526316</v>
      </c>
      <c r="AC367" s="13" t="n">
        <f aca="false">AC293</f>
        <v>-176056.835646316</v>
      </c>
      <c r="AD367" s="13" t="n">
        <f aca="false">AD293</f>
        <v>-176056.835646316</v>
      </c>
      <c r="AE367" s="13" t="n">
        <f aca="false">AE293</f>
        <v>-118681.835646316</v>
      </c>
      <c r="AF367" s="13" t="n">
        <f aca="false">AF293</f>
        <v>-176056.835646316</v>
      </c>
      <c r="AG367" s="13" t="n">
        <f aca="false">AG293</f>
        <v>-179214.730383158</v>
      </c>
      <c r="AH367" s="13" t="n">
        <f aca="false">AH293</f>
        <v>-182372.62512</v>
      </c>
      <c r="AI367" s="13" t="n">
        <f aca="false">AI293</f>
        <v>-191872.62512</v>
      </c>
      <c r="AJ367" s="13" t="n">
        <f aca="false">AJ293</f>
        <v>-191872.62512</v>
      </c>
      <c r="AK367" s="13" t="n">
        <f aca="false">AK293</f>
        <v>-191872.62512</v>
      </c>
      <c r="AL367" s="13" t="n">
        <f aca="false">AL293</f>
        <v>-191872.62512</v>
      </c>
      <c r="AM367" s="13" t="n">
        <f aca="false">AM293</f>
        <v>-191872.62512</v>
      </c>
      <c r="AN367" s="13" t="n">
        <f aca="false">AN293</f>
        <v>-191872.62512</v>
      </c>
      <c r="AO367" s="13" t="n">
        <f aca="false">AO293</f>
        <v>-195610.0776224</v>
      </c>
      <c r="AP367" s="13" t="n">
        <f aca="false">AP293</f>
        <v>-195610.0776224</v>
      </c>
      <c r="AQ367" s="13" t="n">
        <f aca="false">AQ293</f>
        <v>-195610.0776224</v>
      </c>
      <c r="AR367" s="13" t="n">
        <f aca="false">AR293</f>
        <v>-195610.0776224</v>
      </c>
      <c r="AS367" s="13" t="n">
        <f aca="false">AS293</f>
        <v>-195610.0776224</v>
      </c>
      <c r="AT367" s="13" t="n">
        <f aca="false">AT293</f>
        <v>-195610.0776224</v>
      </c>
      <c r="AU367" s="13" t="n">
        <f aca="false">AU293</f>
        <v>-195610.0776224</v>
      </c>
      <c r="AV367" s="13" t="n">
        <f aca="false">AV293</f>
        <v>-195610.0776224</v>
      </c>
      <c r="AW367" s="13" t="n">
        <f aca="false">AW293</f>
        <v>-195610.0776224</v>
      </c>
      <c r="AX367" s="13" t="n">
        <f aca="false">AX293</f>
        <v>-195610.0776224</v>
      </c>
      <c r="AY367" s="13" t="n">
        <f aca="false">AY293</f>
        <v>-195610.0776224</v>
      </c>
      <c r="AZ367" s="13" t="n">
        <f aca="false">AZ293</f>
        <v>-195610.0776224</v>
      </c>
      <c r="BA367" s="13" t="n">
        <f aca="false">BA293</f>
        <v>-199422.279174848</v>
      </c>
      <c r="BB367" s="13" t="n">
        <f aca="false">BB293</f>
        <v>-199422.279174848</v>
      </c>
      <c r="BC367" s="13" t="n">
        <f aca="false">BC293</f>
        <v>-199422.279174848</v>
      </c>
      <c r="BD367" s="13" t="n">
        <f aca="false">BD293</f>
        <v>-199422.279174848</v>
      </c>
      <c r="BE367" s="13" t="n">
        <f aca="false">BE293</f>
        <v>-199422.279174848</v>
      </c>
      <c r="BF367" s="13" t="n">
        <f aca="false">BF293</f>
        <v>-199422.279174848</v>
      </c>
      <c r="BG367" s="13" t="n">
        <f aca="false">BG293</f>
        <v>-199422.279174848</v>
      </c>
      <c r="BH367" s="13" t="n">
        <f aca="false">BH293</f>
        <v>-199422.279174848</v>
      </c>
      <c r="BI367" s="13" t="n">
        <f aca="false">BI293</f>
        <v>-199422.279174848</v>
      </c>
      <c r="BJ367" s="13" t="n">
        <f aca="false">BJ293</f>
        <v>-199422.279174848</v>
      </c>
      <c r="BK367" s="13" t="n">
        <f aca="false">BK293</f>
        <v>-199422.279174848</v>
      </c>
      <c r="BL367" s="13" t="n">
        <f aca="false">BL293</f>
        <v>-199422.279174848</v>
      </c>
      <c r="BM367" s="13" t="n">
        <f aca="false">BM293</f>
        <v>-203310.724758345</v>
      </c>
      <c r="BN367" s="13" t="n">
        <f aca="false">BN293</f>
        <v>-203310.724758345</v>
      </c>
      <c r="BO367" s="13" t="n">
        <f aca="false">BO293</f>
        <v>-203310.724758345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-130777.939253512</v>
      </c>
      <c r="CK367" s="13" t="n">
        <f aca="false">CK293</f>
        <v>-134823.478038582</v>
      </c>
      <c r="CL367" s="13" t="n">
        <f aca="false">CL293</f>
        <v>-134823.478038582</v>
      </c>
      <c r="CM367" s="13" t="n">
        <f aca="false">CM293</f>
        <v>-134823.478038582</v>
      </c>
      <c r="CN367" s="13" t="n">
        <f aca="false">CN293</f>
        <v>-134823.478038582</v>
      </c>
      <c r="CO367" s="13" t="n">
        <f aca="false">CO293</f>
        <v>-134823.478038582</v>
      </c>
      <c r="CP367" s="13" t="n">
        <f aca="false">CP293</f>
        <v>-134823.478038582</v>
      </c>
      <c r="CQ367" s="13" t="n">
        <f aca="false">CQ293</f>
        <v>-134823.478038582</v>
      </c>
      <c r="CR367" s="13" t="n">
        <f aca="false">CR293</f>
        <v>-134823.478038582</v>
      </c>
      <c r="CS367" s="13" t="n">
        <f aca="false">CS293</f>
        <v>-134823.478038582</v>
      </c>
      <c r="CT367" s="13" t="n">
        <f aca="false">CT293</f>
        <v>-125801.509357253</v>
      </c>
      <c r="CU367" s="13" t="n">
        <f aca="false">CU293</f>
        <v>-125801.509357253</v>
      </c>
      <c r="CV367" s="13" t="n">
        <f aca="false">CV293</f>
        <v>-125801.509357253</v>
      </c>
      <c r="CW367" s="13" t="n">
        <f aca="false">CW293</f>
        <v>-129747.519544398</v>
      </c>
      <c r="CX367" s="13" t="n">
        <f aca="false">CX293</f>
        <v>-129747.519544398</v>
      </c>
      <c r="CY367" s="13" t="n">
        <f aca="false">CY293</f>
        <v>-129747.519544398</v>
      </c>
      <c r="CZ367" s="13" t="n">
        <f aca="false">CZ293</f>
        <v>-129747.519544398</v>
      </c>
      <c r="DA367" s="13" t="n">
        <f aca="false">DA293</f>
        <v>-129747.519544398</v>
      </c>
      <c r="DB367" s="13" t="n">
        <f aca="false">DB293</f>
        <v>-129747.519544398</v>
      </c>
      <c r="DC367" s="13" t="n">
        <f aca="false">DC293</f>
        <v>-129747.519544398</v>
      </c>
      <c r="DD367" s="13" t="n">
        <f aca="false">DD293</f>
        <v>-129747.519544398</v>
      </c>
      <c r="DE367" s="13" t="n">
        <f aca="false">DE293</f>
        <v>-129747.519544398</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-186092.864786967</v>
      </c>
      <c r="O371" s="68" t="n">
        <f aca="false">O366+O367+O368+O369+O370</f>
        <v>-435771.158646616</v>
      </c>
      <c r="P371" s="68" t="n">
        <f aca="false">P366+P367+P368+P369+P370</f>
        <v>-684949.452506266</v>
      </c>
      <c r="Q371" s="68" t="n">
        <f aca="false">Q366+Q367+Q368+Q369+Q370</f>
        <v>-937720.069032581</v>
      </c>
      <c r="R371" s="68" t="n">
        <f aca="false">R366+R367+R368+R369+R370</f>
        <v>-1190490.6855589</v>
      </c>
      <c r="S371" s="68" t="n">
        <f aca="false">S366+S367+S368+S369+S370</f>
        <v>-1443261.30208521</v>
      </c>
      <c r="T371" s="68" t="n">
        <f aca="false">T366+T367+T368+T369+T370</f>
        <v>-1721538.16861153</v>
      </c>
      <c r="U371" s="68" t="n">
        <f aca="false">U366+U367+U368+U369+U370</f>
        <v>-1998215.03513784</v>
      </c>
      <c r="V371" s="68" t="n">
        <f aca="false">V366+V367+V368+V369+V370</f>
        <v>-2274891.90166416</v>
      </c>
      <c r="W371" s="68" t="n">
        <f aca="false">W366+W367+W368+W369+W370</f>
        <v>-2551568.76819048</v>
      </c>
      <c r="X371" s="68" t="n">
        <f aca="false">X366+X367+X368+X369+X370</f>
        <v>-2828784.43471679</v>
      </c>
      <c r="Y371" s="68" t="n">
        <f aca="false">Y366+Y367+Y368+Y369+Y370</f>
        <v>-3048625.10124311</v>
      </c>
      <c r="Z371" s="68" t="n">
        <f aca="false">Z366+Z367+Z368+Z369+Z370</f>
        <v>-3333017.76776942</v>
      </c>
      <c r="AA371" s="68" t="n">
        <f aca="false">AA366+AA367+AA368+AA369+AA370</f>
        <v>-3867410.43429574</v>
      </c>
      <c r="AB371" s="68" t="n">
        <f aca="false">AB366+AB367+AB368+AB369+AB370</f>
        <v>-4094428.10082206</v>
      </c>
      <c r="AC371" s="68" t="n">
        <f aca="false">AC366+AC367+AC368+AC369+AC370</f>
        <v>-4382484.93646837</v>
      </c>
      <c r="AD371" s="68" t="n">
        <f aca="false">AD366+AD367+AD368+AD369+AD370</f>
        <v>-4670541.77211469</v>
      </c>
      <c r="AE371" s="68" t="n">
        <f aca="false">AE366+AE367+AE368+AE369+AE370</f>
        <v>-4881205.0380396</v>
      </c>
      <c r="AF371" s="68" t="n">
        <f aca="false">AF366+AF367+AF368+AF369+AF370</f>
        <v>-5057261.87368592</v>
      </c>
      <c r="AG371" s="68" t="n">
        <f aca="false">AG366+AG367+AG368+AG369+AG370</f>
        <v>-5236476.60406907</v>
      </c>
      <c r="AH371" s="68" t="n">
        <f aca="false">AH366+AH367+AH368+AH369+AH370</f>
        <v>-5418849.22918907</v>
      </c>
      <c r="AI371" s="68" t="n">
        <f aca="false">AI366+AI367+AI368+AI369+AI370</f>
        <v>-5610721.85430907</v>
      </c>
      <c r="AJ371" s="68" t="n">
        <f aca="false">AJ366+AJ367+AJ368+AJ369+AJ370</f>
        <v>-5802594.47942907</v>
      </c>
      <c r="AK371" s="68" t="n">
        <f aca="false">AK366+AK367+AK368+AK369+AK370</f>
        <v>-5994467.10454907</v>
      </c>
      <c r="AL371" s="68" t="n">
        <f aca="false">AL366+AL367+AL368+AL369+AL370</f>
        <v>-6186339.72966907</v>
      </c>
      <c r="AM371" s="68" t="n">
        <f aca="false">AM366+AM367+AM368+AM369+AM370</f>
        <v>-6378212.35478907</v>
      </c>
      <c r="AN371" s="68" t="n">
        <f aca="false">AN366+AN367+AN368+AN369+AN370</f>
        <v>-6570084.97990907</v>
      </c>
      <c r="AO371" s="68" t="n">
        <f aca="false">AO366+AO367+AO368+AO369+AO370</f>
        <v>-6765695.05753147</v>
      </c>
      <c r="AP371" s="68" t="n">
        <f aca="false">AP366+AP367+AP368+AP369+AP370</f>
        <v>-6961305.13515387</v>
      </c>
      <c r="AQ371" s="68" t="n">
        <f aca="false">AQ366+AQ367+AQ368+AQ369+AQ370</f>
        <v>-7156915.21277627</v>
      </c>
      <c r="AR371" s="68" t="n">
        <f aca="false">AR366+AR367+AR368+AR369+AR370</f>
        <v>-7352525.29039867</v>
      </c>
      <c r="AS371" s="68" t="n">
        <f aca="false">AS366+AS367+AS368+AS369+AS370</f>
        <v>-7548135.36802107</v>
      </c>
      <c r="AT371" s="68" t="n">
        <f aca="false">AT366+AT367+AT368+AT369+AT370</f>
        <v>-7743745.44564347</v>
      </c>
      <c r="AU371" s="68" t="n">
        <f aca="false">AU366+AU367+AU368+AU369+AU370</f>
        <v>-7939355.52326587</v>
      </c>
      <c r="AV371" s="68" t="n">
        <f aca="false">AV366+AV367+AV368+AV369+AV370</f>
        <v>-8134965.60088827</v>
      </c>
      <c r="AW371" s="68" t="n">
        <f aca="false">AW366+AW367+AW368+AW369+AW370</f>
        <v>-8330575.67851067</v>
      </c>
      <c r="AX371" s="68" t="n">
        <f aca="false">AX366+AX367+AX368+AX369+AX370</f>
        <v>-8526185.75613307</v>
      </c>
      <c r="AY371" s="68" t="n">
        <f aca="false">AY366+AY367+AY368+AY369+AY370</f>
        <v>-8721795.83375547</v>
      </c>
      <c r="AZ371" s="68" t="n">
        <f aca="false">AZ366+AZ367+AZ368+AZ369+AZ370</f>
        <v>-8917405.91137787</v>
      </c>
      <c r="BA371" s="68" t="n">
        <f aca="false">BA366+BA367+BA368+BA369+BA370</f>
        <v>-9116828.19055272</v>
      </c>
      <c r="BB371" s="68" t="n">
        <f aca="false">BB366+BB367+BB368+BB369+BB370</f>
        <v>-9316250.46972757</v>
      </c>
      <c r="BC371" s="68" t="n">
        <f aca="false">BC366+BC367+BC368+BC369+BC370</f>
        <v>-9515672.74890241</v>
      </c>
      <c r="BD371" s="68" t="n">
        <f aca="false">BD366+BD367+BD368+BD369+BD370</f>
        <v>-9715095.02807726</v>
      </c>
      <c r="BE371" s="68" t="n">
        <f aca="false">BE366+BE367+BE368+BE369+BE370</f>
        <v>-9914517.30725211</v>
      </c>
      <c r="BF371" s="68" t="n">
        <f aca="false">BF366+BF367+BF368+BF369+BF370</f>
        <v>-10113939.586427</v>
      </c>
      <c r="BG371" s="68" t="n">
        <f aca="false">BG366+BG367+BG368+BG369+BG370</f>
        <v>-10313361.8656018</v>
      </c>
      <c r="BH371" s="68" t="n">
        <f aca="false">BH366+BH367+BH368+BH369+BH370</f>
        <v>-10512784.1447767</v>
      </c>
      <c r="BI371" s="68" t="n">
        <f aca="false">BI366+BI367+BI368+BI369+BI370</f>
        <v>-10712206.4239515</v>
      </c>
      <c r="BJ371" s="68" t="n">
        <f aca="false">BJ366+BJ367+BJ368+BJ369+BJ370</f>
        <v>-10911628.7031263</v>
      </c>
      <c r="BK371" s="68" t="n">
        <f aca="false">BK366+BK367+BK368+BK369+BK370</f>
        <v>-11111050.9823012</v>
      </c>
      <c r="BL371" s="68" t="n">
        <f aca="false">BL366+BL367+BL368+BL369+BL370</f>
        <v>-11310473.261476</v>
      </c>
      <c r="BM371" s="68" t="n">
        <f aca="false">BM366+BM367+BM368+BM369+BM370</f>
        <v>-11513783.9862344</v>
      </c>
      <c r="BN371" s="68" t="n">
        <f aca="false">BN366+BN367+BN368+BN369+BN370</f>
        <v>-11717094.7109927</v>
      </c>
      <c r="BO371" s="68" t="n">
        <f aca="false">BO366+BO367+BO368+BO369+BO370</f>
        <v>-11920405.4357511</v>
      </c>
      <c r="BP371" s="68" t="n">
        <f aca="false">BP366+BP367+BP368+BP369+BP370</f>
        <v>-12123716.1605094</v>
      </c>
      <c r="BQ371" s="68" t="n">
        <f aca="false">BQ366+BQ367+BQ368+BQ369+BQ370</f>
        <v>-12327026.8852678</v>
      </c>
      <c r="BR371" s="68" t="n">
        <f aca="false">BR366+BR367+BR368+BR369+BR370</f>
        <v>-12477087.2600261</v>
      </c>
      <c r="BS371" s="68" t="n">
        <f aca="false">BS366+BS367+BS368+BS369+BS370</f>
        <v>-12680397.9847845</v>
      </c>
      <c r="BT371" s="68" t="n">
        <f aca="false">BT366+BT367+BT368+BT369+BT370</f>
        <v>-12883708.7095428</v>
      </c>
      <c r="BU371" s="68" t="n">
        <f aca="false">BU366+BU367+BU368+BU369+BU370</f>
        <v>-13019257.4343012</v>
      </c>
      <c r="BV371" s="68" t="n">
        <f aca="false">BV366+BV367+BV368+BV369+BV370</f>
        <v>-13222568.1590595</v>
      </c>
      <c r="BW371" s="68" t="n">
        <f aca="false">BW366+BW367+BW368+BW369+BW370</f>
        <v>-13425878.8838178</v>
      </c>
      <c r="BX371" s="68" t="n">
        <f aca="false">BX366+BX367+BX368+BX369+BX370</f>
        <v>-13561427.6085762</v>
      </c>
      <c r="BY371" s="68" t="n">
        <f aca="false">BY366+BY367+BY368+BY369+BY370</f>
        <v>-13768704.5478297</v>
      </c>
      <c r="BZ371" s="68" t="n">
        <f aca="false">BZ366+BZ367+BZ368+BZ369+BZ370</f>
        <v>-13975981.4870832</v>
      </c>
      <c r="CA371" s="68" t="n">
        <f aca="false">CA366+CA367+CA368+CA369+CA370</f>
        <v>-14115496.4263367</v>
      </c>
      <c r="CB371" s="68" t="n">
        <f aca="false">CB366+CB367+CB368+CB369+CB370</f>
        <v>-14322773.3655902</v>
      </c>
      <c r="CC371" s="68" t="n">
        <f aca="false">CC366+CC367+CC368+CC369+CC370</f>
        <v>-14530050.3048438</v>
      </c>
      <c r="CD371" s="68" t="n">
        <f aca="false">CD366+CD367+CD368+CD369+CD370</f>
        <v>-14660828.2440973</v>
      </c>
      <c r="CE371" s="68" t="n">
        <f aca="false">CE366+CE367+CE368+CE369+CE370</f>
        <v>-14868105.1833508</v>
      </c>
      <c r="CF371" s="68" t="n">
        <f aca="false">CF366+CF367+CF368+CF369+CF370</f>
        <v>-15075382.1226043</v>
      </c>
      <c r="CG371" s="68" t="n">
        <f aca="false">CG366+CG367+CG368+CG369+CG370</f>
        <v>-15206160.0618578</v>
      </c>
      <c r="CH371" s="68" t="n">
        <f aca="false">CH366+CH367+CH368+CH369+CH370</f>
        <v>-15413437.0011113</v>
      </c>
      <c r="CI371" s="68" t="n">
        <f aca="false">CI366+CI367+CI368+CI369+CI370</f>
        <v>-15620713.9403648</v>
      </c>
      <c r="CJ371" s="68" t="n">
        <f aca="false">CJ366+CJ367+CJ368+CJ369+CJ370</f>
        <v>-15751491.8796183</v>
      </c>
      <c r="CK371" s="68" t="n">
        <f aca="false">CK366+CK367+CK368+CK369+CK370</f>
        <v>-15886315.3576569</v>
      </c>
      <c r="CL371" s="68" t="n">
        <f aca="false">CL366+CL367+CL368+CL369+CL370</f>
        <v>-16021138.8356955</v>
      </c>
      <c r="CM371" s="68" t="n">
        <f aca="false">CM366+CM367+CM368+CM369+CM370</f>
        <v>-16155962.3137341</v>
      </c>
      <c r="CN371" s="68" t="n">
        <f aca="false">CN366+CN367+CN368+CN369+CN370</f>
        <v>-16290785.7917727</v>
      </c>
      <c r="CO371" s="68" t="n">
        <f aca="false">CO366+CO367+CO368+CO369+CO370</f>
        <v>-16425609.2698113</v>
      </c>
      <c r="CP371" s="68" t="n">
        <f aca="false">CP366+CP367+CP368+CP369+CP370</f>
        <v>-16560432.7478498</v>
      </c>
      <c r="CQ371" s="68" t="n">
        <f aca="false">CQ366+CQ367+CQ368+CQ369+CQ370</f>
        <v>-16695256.2258884</v>
      </c>
      <c r="CR371" s="68" t="n">
        <f aca="false">CR366+CR367+CR368+CR369+CR370</f>
        <v>-16830079.703927</v>
      </c>
      <c r="CS371" s="68" t="n">
        <f aca="false">CS366+CS367+CS368+CS369+CS370</f>
        <v>-16964903.1819656</v>
      </c>
      <c r="CT371" s="68" t="n">
        <f aca="false">CT366+CT367+CT368+CT369+CT370</f>
        <v>-17090704.6913228</v>
      </c>
      <c r="CU371" s="68" t="n">
        <f aca="false">CU366+CU367+CU368+CU369+CU370</f>
        <v>-17216506.2006801</v>
      </c>
      <c r="CV371" s="68" t="n">
        <f aca="false">CV366+CV367+CV368+CV369+CV370</f>
        <v>-17342307.7100374</v>
      </c>
      <c r="CW371" s="68" t="n">
        <f aca="false">CW366+CW367+CW368+CW369+CW370</f>
        <v>-17472055.2295818</v>
      </c>
      <c r="CX371" s="68" t="n">
        <f aca="false">CX366+CX367+CX368+CX369+CX370</f>
        <v>-17601802.7491262</v>
      </c>
      <c r="CY371" s="68" t="n">
        <f aca="false">CY366+CY367+CY368+CY369+CY370</f>
        <v>-17731550.2686706</v>
      </c>
      <c r="CZ371" s="68" t="n">
        <f aca="false">CZ366+CZ367+CZ368+CZ369+CZ370</f>
        <v>-17861297.788215</v>
      </c>
      <c r="DA371" s="68" t="n">
        <f aca="false">DA366+DA367+DA368+DA369+DA370</f>
        <v>-17991045.3077594</v>
      </c>
      <c r="DB371" s="68" t="n">
        <f aca="false">DB366+DB367+DB368+DB369+DB370</f>
        <v>-18120792.8273038</v>
      </c>
      <c r="DC371" s="68" t="n">
        <f aca="false">DC366+DC367+DC368+DC369+DC370</f>
        <v>-18250540.3468482</v>
      </c>
      <c r="DD371" s="68" t="n">
        <f aca="false">DD366+DD367+DD368+DD369+DD370</f>
        <v>-18380287.8663926</v>
      </c>
      <c r="DE371" s="68" t="n">
        <f aca="false">DE366+DE367+DE368+DE369+DE370</f>
        <v>-18510035.385937</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957724.80874267</v>
      </c>
      <c r="P374" s="13" t="n">
        <f aca="false">P355+P366</f>
        <v>988607.003789134</v>
      </c>
      <c r="Q374" s="13" t="n">
        <f aca="false">Q355+Q366</f>
        <v>1054831.89819155</v>
      </c>
      <c r="R374" s="13" t="n">
        <f aca="false">R355+R366</f>
        <v>1124562.98139396</v>
      </c>
      <c r="S374" s="13" t="n">
        <f aca="false">S355+S366</f>
        <v>1148373.91809638</v>
      </c>
      <c r="T374" s="13" t="n">
        <f aca="false">T355+T366</f>
        <v>1115796.93879879</v>
      </c>
      <c r="U374" s="13" t="n">
        <f aca="false">U355+U366</f>
        <v>963744.126001203</v>
      </c>
      <c r="V374" s="13" t="n">
        <f aca="false">V355+V366</f>
        <v>1017090.35970362</v>
      </c>
      <c r="W374" s="13" t="n">
        <f aca="false">W355+W366</f>
        <v>1038873.19505988</v>
      </c>
      <c r="X374" s="13" t="n">
        <f aca="false">X355+X366</f>
        <v>1123554.16776229</v>
      </c>
      <c r="Y374" s="13" t="n">
        <f aca="false">Y355+Y366</f>
        <v>997393.746464703</v>
      </c>
      <c r="Z374" s="13" t="n">
        <f aca="false">Z355+Z366</f>
        <v>1107158.74001327</v>
      </c>
      <c r="AA374" s="13" t="n">
        <f aca="false">AA355+AA366</f>
        <v>998914.248792607</v>
      </c>
      <c r="AB374" s="13" t="n">
        <f aca="false">AB355+AB366</f>
        <v>883760.774326964</v>
      </c>
      <c r="AC374" s="13" t="n">
        <f aca="false">AC355+AC366</f>
        <v>1109734.83914157</v>
      </c>
      <c r="AD374" s="13" t="n">
        <f aca="false">AD355+AD366</f>
        <v>1031915.40438669</v>
      </c>
      <c r="AE374" s="13" t="n">
        <f aca="false">AE355+AE366</f>
        <v>746146.081811333</v>
      </c>
      <c r="AF374" s="13" t="n">
        <f aca="false">AF355+AF366</f>
        <v>561173.638457378</v>
      </c>
      <c r="AG374" s="13" t="n">
        <f aca="false">AG355+AG366</f>
        <v>530111.378790997</v>
      </c>
      <c r="AH374" s="13" t="n">
        <f aca="false">AH355+AH366</f>
        <v>590803.336456148</v>
      </c>
      <c r="AI374" s="13" t="n">
        <f aca="false">AI355+AI366</f>
        <v>507619.267303126</v>
      </c>
      <c r="AJ374" s="13" t="n">
        <f aca="false">AJ355+AJ366</f>
        <v>278550.218688205</v>
      </c>
      <c r="AK374" s="13" t="n">
        <f aca="false">AK355+AK366</f>
        <v>171041.874662646</v>
      </c>
      <c r="AL374" s="13" t="n">
        <f aca="false">AL355+AL366</f>
        <v>-46374.7784224683</v>
      </c>
      <c r="AM374" s="13" t="n">
        <f aca="false">AM355+AM366</f>
        <v>-518841.353816468</v>
      </c>
      <c r="AN374" s="13" t="n">
        <f aca="false">AN355+AN366</f>
        <v>-977591.948210468</v>
      </c>
      <c r="AO374" s="13" t="n">
        <f aca="false">AO355+AO366</f>
        <v>-1161664.76410447</v>
      </c>
      <c r="AP374" s="13" t="n">
        <f aca="false">AP355+AP366</f>
        <v>-1721252.27432635</v>
      </c>
      <c r="AQ374" s="13" t="n">
        <f aca="false">AQ355+AQ366</f>
        <v>-2320768.39454823</v>
      </c>
      <c r="AR374" s="13" t="n">
        <f aca="false">AR355+AR366</f>
        <v>-2920284.51477011</v>
      </c>
      <c r="AS374" s="13" t="n">
        <f aca="false">AS355+AS366</f>
        <v>-3519800.63499199</v>
      </c>
      <c r="AT374" s="13" t="n">
        <f aca="false">AT355+AT366</f>
        <v>-4119316.75521387</v>
      </c>
      <c r="AU374" s="13" t="n">
        <f aca="false">AU355+AU366</f>
        <v>-4718832.87543575</v>
      </c>
      <c r="AV374" s="13" t="n">
        <f aca="false">AV355+AV366</f>
        <v>-5318348.99565763</v>
      </c>
      <c r="AW374" s="13" t="n">
        <f aca="false">AW355+AW366</f>
        <v>-5917865.1158795</v>
      </c>
      <c r="AX374" s="13" t="n">
        <f aca="false">AX355+AX366</f>
        <v>-6517381.23610138</v>
      </c>
      <c r="AY374" s="13" t="n">
        <f aca="false">AY355+AY366</f>
        <v>-7116897.35632327</v>
      </c>
      <c r="AZ374" s="13" t="n">
        <f aca="false">AZ355+AZ366</f>
        <v>-7716413.47654515</v>
      </c>
      <c r="BA374" s="13" t="n">
        <f aca="false">BA355+BA366</f>
        <v>-8315929.59676703</v>
      </c>
      <c r="BB374" s="13" t="n">
        <f aca="false">BB355+BB366</f>
        <v>-8927336.03939334</v>
      </c>
      <c r="BC374" s="13" t="n">
        <f aca="false">BC355+BC366</f>
        <v>-9538742.48201966</v>
      </c>
      <c r="BD374" s="13" t="n">
        <f aca="false">BD355+BD366</f>
        <v>-10150148.924646</v>
      </c>
      <c r="BE374" s="13" t="n">
        <f aca="false">BE355+BE366</f>
        <v>-10761555.3672723</v>
      </c>
      <c r="BF374" s="13" t="n">
        <f aca="false">BF355+BF366</f>
        <v>-11372961.8098986</v>
      </c>
      <c r="BG374" s="13" t="n">
        <f aca="false">BG355+BG366</f>
        <v>-11984368.2525249</v>
      </c>
      <c r="BH374" s="13" t="n">
        <f aca="false">BH355+BH366</f>
        <v>-12595774.6951512</v>
      </c>
      <c r="BI374" s="13" t="n">
        <f aca="false">BI355+BI366</f>
        <v>-13207181.1377776</v>
      </c>
      <c r="BJ374" s="13" t="n">
        <f aca="false">BJ355+BJ366</f>
        <v>-13818587.5804039</v>
      </c>
      <c r="BK374" s="13" t="n">
        <f aca="false">BK355+BK366</f>
        <v>-14429994.0230302</v>
      </c>
      <c r="BL374" s="13" t="n">
        <f aca="false">BL355+BL366</f>
        <v>-15041400.4656565</v>
      </c>
      <c r="BM374" s="13" t="n">
        <f aca="false">BM355+BM366</f>
        <v>-15652806.9082828</v>
      </c>
      <c r="BN374" s="13" t="n">
        <f aca="false">BN355+BN366</f>
        <v>-16276341.4797617</v>
      </c>
      <c r="BO374" s="13" t="n">
        <f aca="false">BO355+BO366</f>
        <v>-16899876.0512405</v>
      </c>
      <c r="BP374" s="13" t="n">
        <f aca="false">BP355+BP366</f>
        <v>-17523410.6227194</v>
      </c>
      <c r="BQ374" s="13" t="n">
        <f aca="false">BQ355+BQ366</f>
        <v>-18146945.1941982</v>
      </c>
      <c r="BR374" s="13" t="n">
        <f aca="false">BR355+BR366</f>
        <v>-18770479.7656771</v>
      </c>
      <c r="BS374" s="13" t="n">
        <f aca="false">BS355+BS366</f>
        <v>-19340763.9871559</v>
      </c>
      <c r="BT374" s="13" t="n">
        <f aca="false">BT355+BT366</f>
        <v>-19964298.5586347</v>
      </c>
      <c r="BU374" s="13" t="n">
        <f aca="false">BU355+BU366</f>
        <v>-20587833.1301136</v>
      </c>
      <c r="BV374" s="13" t="n">
        <f aca="false">BV355+BV366</f>
        <v>-21143605.7015924</v>
      </c>
      <c r="BW374" s="13" t="n">
        <f aca="false">BW355+BW366</f>
        <v>-21767140.2730713</v>
      </c>
      <c r="BX374" s="13" t="n">
        <f aca="false">BX355+BX366</f>
        <v>-22390674.8445501</v>
      </c>
      <c r="BY374" s="13" t="n">
        <f aca="false">BY355+BY366</f>
        <v>-22946447.416029</v>
      </c>
      <c r="BZ374" s="13" t="n">
        <f aca="false">BZ355+BZ366</f>
        <v>-23582352.6789374</v>
      </c>
      <c r="CA374" s="13" t="n">
        <f aca="false">CA355+CA366</f>
        <v>-24218257.9418458</v>
      </c>
      <c r="CB374" s="13" t="n">
        <f aca="false">CB355+CB366</f>
        <v>-24786401.2047542</v>
      </c>
      <c r="CC374" s="13" t="n">
        <f aca="false">CC355+CC366</f>
        <v>-25422306.4676626</v>
      </c>
      <c r="CD374" s="13" t="n">
        <f aca="false">CD355+CD366</f>
        <v>-26058211.7305711</v>
      </c>
      <c r="CE374" s="13" t="n">
        <f aca="false">CE355+CE366</f>
        <v>-26617617.9934795</v>
      </c>
      <c r="CF374" s="13" t="n">
        <f aca="false">CF355+CF366</f>
        <v>-27253523.2563879</v>
      </c>
      <c r="CG374" s="13" t="n">
        <f aca="false">CG355+CG366</f>
        <v>-27889428.5192963</v>
      </c>
      <c r="CH374" s="13" t="n">
        <f aca="false">CH355+CH366</f>
        <v>-28448834.7822048</v>
      </c>
      <c r="CI374" s="13" t="n">
        <f aca="false">CI355+CI366</f>
        <v>-29084740.0451132</v>
      </c>
      <c r="CJ374" s="13" t="n">
        <f aca="false">CJ355+CJ366</f>
        <v>-29720645.3080216</v>
      </c>
      <c r="CK374" s="13" t="n">
        <f aca="false">CK355+CK366</f>
        <v>-30280051.57093</v>
      </c>
      <c r="CL374" s="13" t="n">
        <f aca="false">CL355+CL366</f>
        <v>-30852075.9390966</v>
      </c>
      <c r="CM374" s="13" t="n">
        <f aca="false">CM355+CM366</f>
        <v>-31424100.3072632</v>
      </c>
      <c r="CN374" s="13" t="n">
        <f aca="false">CN355+CN366</f>
        <v>-31996124.6754298</v>
      </c>
      <c r="CO374" s="13" t="n">
        <f aca="false">CO355+CO366</f>
        <v>-32568149.0435964</v>
      </c>
      <c r="CP374" s="13" t="n">
        <f aca="false">CP355+CP366</f>
        <v>-33140173.411763</v>
      </c>
      <c r="CQ374" s="13" t="n">
        <f aca="false">CQ355+CQ366</f>
        <v>-33712197.7799296</v>
      </c>
      <c r="CR374" s="13" t="n">
        <f aca="false">CR355+CR366</f>
        <v>-34284222.1480962</v>
      </c>
      <c r="CS374" s="13" t="n">
        <f aca="false">CS355+CS366</f>
        <v>-34856246.5162627</v>
      </c>
      <c r="CT374" s="13" t="n">
        <f aca="false">CT355+CT366</f>
        <v>-35428270.8844293</v>
      </c>
      <c r="CU374" s="13" t="n">
        <f aca="false">CU355+CU366</f>
        <v>-35939493.1243032</v>
      </c>
      <c r="CV374" s="13" t="n">
        <f aca="false">CV355+CV366</f>
        <v>-36450715.364177</v>
      </c>
      <c r="CW374" s="13" t="n">
        <f aca="false">CW355+CW366</f>
        <v>-36961937.6040508</v>
      </c>
      <c r="CX374" s="13" t="n">
        <f aca="false">CX355+CX366</f>
        <v>-37484814.2687221</v>
      </c>
      <c r="CY374" s="13" t="n">
        <f aca="false">CY355+CY366</f>
        <v>-38007690.9333933</v>
      </c>
      <c r="CZ374" s="13" t="n">
        <f aca="false">CZ355+CZ366</f>
        <v>-38530567.5980646</v>
      </c>
      <c r="DA374" s="13" t="n">
        <f aca="false">DA355+DA366</f>
        <v>-39053444.2627359</v>
      </c>
      <c r="DB374" s="13" t="n">
        <f aca="false">DB355+DB366</f>
        <v>-39576320.9274072</v>
      </c>
      <c r="DC374" s="13" t="n">
        <f aca="false">DC355+DC366</f>
        <v>-40099197.5920785</v>
      </c>
      <c r="DD374" s="13" t="n">
        <f aca="false">DD355+DD366</f>
        <v>-40622074.2567498</v>
      </c>
      <c r="DE374" s="13" t="n">
        <f aca="false">DE355+DE366</f>
        <v>-41144950.9214211</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-794750.370654909</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0</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957724.80874267</v>
      </c>
      <c r="O376" s="68" t="n">
        <f aca="false">O363+O371+O375</f>
        <v>988607.003789134</v>
      </c>
      <c r="P376" s="68" t="n">
        <f aca="false">P363+P371+P375</f>
        <v>848793.687459426</v>
      </c>
      <c r="Q376" s="68" t="n">
        <f aca="false">Q363+Q371+Q375</f>
        <v>1124562.98139396</v>
      </c>
      <c r="R376" s="68" t="n">
        <f aca="false">R363+R371+R375</f>
        <v>1148373.91809638</v>
      </c>
      <c r="S376" s="68" t="n">
        <f aca="false">S363+S371+S375</f>
        <v>1115796.93879879</v>
      </c>
      <c r="T376" s="68" t="n">
        <f aca="false">T363+T371+T375</f>
        <v>963744.126001203</v>
      </c>
      <c r="U376" s="68" t="n">
        <f aca="false">U363+U371+U375</f>
        <v>1017090.35970362</v>
      </c>
      <c r="V376" s="68" t="n">
        <f aca="false">V363+V371+V375</f>
        <v>1038873.19505988</v>
      </c>
      <c r="W376" s="68" t="n">
        <f aca="false">W363+W371+W375</f>
        <v>1123554.16776229</v>
      </c>
      <c r="X376" s="68" t="n">
        <f aca="false">X363+X371+X375</f>
        <v>997393.746464703</v>
      </c>
      <c r="Y376" s="68" t="n">
        <f aca="false">Y363+Y371+Y375</f>
        <v>1107158.74001327</v>
      </c>
      <c r="Z376" s="68" t="n">
        <f aca="false">Z363+Z371+Z375</f>
        <v>998914.248792607</v>
      </c>
      <c r="AA376" s="68" t="n">
        <f aca="false">AA363+AA371+AA375</f>
        <v>883760.774326964</v>
      </c>
      <c r="AB376" s="68" t="n">
        <f aca="false">AB363+AB371+AB375</f>
        <v>314984.468486662</v>
      </c>
      <c r="AC376" s="68" t="n">
        <f aca="false">AC363+AC371+AC375</f>
        <v>1031915.40438669</v>
      </c>
      <c r="AD376" s="68" t="n">
        <f aca="false">AD363+AD371+AD375</f>
        <v>746146.081811333</v>
      </c>
      <c r="AE376" s="68" t="n">
        <f aca="false">AE363+AE371+AE375</f>
        <v>561173.638457378</v>
      </c>
      <c r="AF376" s="68" t="n">
        <f aca="false">AF363+AF371+AF375</f>
        <v>530111.378790997</v>
      </c>
      <c r="AG376" s="68" t="n">
        <f aca="false">AG363+AG371+AG375</f>
        <v>590803.336456148</v>
      </c>
      <c r="AH376" s="68" t="n">
        <f aca="false">AH363+AH371+AH375</f>
        <v>507619.267303126</v>
      </c>
      <c r="AI376" s="68" t="n">
        <f aca="false">AI363+AI371+AI375</f>
        <v>278550.218688205</v>
      </c>
      <c r="AJ376" s="68" t="n">
        <f aca="false">AJ363+AJ371+AJ375</f>
        <v>171041.874662646</v>
      </c>
      <c r="AK376" s="68" t="n">
        <f aca="false">AK363+AK371+AK375</f>
        <v>-46374.7784224683</v>
      </c>
      <c r="AL376" s="68" t="n">
        <f aca="false">AL363+AL371+AL375</f>
        <v>-518841.353816468</v>
      </c>
      <c r="AM376" s="68" t="n">
        <f aca="false">AM363+AM371+AM375</f>
        <v>-977591.948210468</v>
      </c>
      <c r="AN376" s="68" t="n">
        <f aca="false">AN363+AN371+AN375</f>
        <v>-1161664.76410447</v>
      </c>
      <c r="AO376" s="68" t="n">
        <f aca="false">AO363+AO371+AO375</f>
        <v>-1721252.27432635</v>
      </c>
      <c r="AP376" s="68" t="n">
        <f aca="false">AP363+AP371+AP375</f>
        <v>-2320768.39454823</v>
      </c>
      <c r="AQ376" s="68" t="n">
        <f aca="false">AQ363+AQ371+AQ375</f>
        <v>-2920284.51477011</v>
      </c>
      <c r="AR376" s="68" t="n">
        <f aca="false">AR363+AR371+AR375</f>
        <v>-3519800.63499199</v>
      </c>
      <c r="AS376" s="68" t="n">
        <f aca="false">AS363+AS371+AS375</f>
        <v>-4119316.75521387</v>
      </c>
      <c r="AT376" s="68" t="n">
        <f aca="false">AT363+AT371+AT375</f>
        <v>-4718832.87543575</v>
      </c>
      <c r="AU376" s="68" t="n">
        <f aca="false">AU363+AU371+AU375</f>
        <v>-5318348.99565763</v>
      </c>
      <c r="AV376" s="68" t="n">
        <f aca="false">AV363+AV371+AV375</f>
        <v>-5917865.1158795</v>
      </c>
      <c r="AW376" s="68" t="n">
        <f aca="false">AW363+AW371+AW375</f>
        <v>-6517381.23610138</v>
      </c>
      <c r="AX376" s="68" t="n">
        <f aca="false">AX363+AX371+AX375</f>
        <v>-7116897.35632327</v>
      </c>
      <c r="AY376" s="68" t="n">
        <f aca="false">AY363+AY371+AY375</f>
        <v>-7716413.47654515</v>
      </c>
      <c r="AZ376" s="68" t="n">
        <f aca="false">AZ363+AZ371+AZ375</f>
        <v>-8315929.59676703</v>
      </c>
      <c r="BA376" s="68" t="n">
        <f aca="false">BA363+BA371+BA375</f>
        <v>-8927336.03939334</v>
      </c>
      <c r="BB376" s="68" t="n">
        <f aca="false">BB363+BB371+BB375</f>
        <v>-9538742.48201966</v>
      </c>
      <c r="BC376" s="68" t="n">
        <f aca="false">BC363+BC371+BC375</f>
        <v>-10150148.924646</v>
      </c>
      <c r="BD376" s="68" t="n">
        <f aca="false">BD363+BD371+BD375</f>
        <v>-10761555.3672723</v>
      </c>
      <c r="BE376" s="68" t="n">
        <f aca="false">BE363+BE371+BE375</f>
        <v>-11372961.8098986</v>
      </c>
      <c r="BF376" s="68" t="n">
        <f aca="false">BF363+BF371+BF375</f>
        <v>-11984368.2525249</v>
      </c>
      <c r="BG376" s="68" t="n">
        <f aca="false">BG363+BG371+BG375</f>
        <v>-12595774.6951512</v>
      </c>
      <c r="BH376" s="68" t="n">
        <f aca="false">BH363+BH371+BH375</f>
        <v>-13207181.1377776</v>
      </c>
      <c r="BI376" s="68" t="n">
        <f aca="false">BI363+BI371+BI375</f>
        <v>-13818587.5804039</v>
      </c>
      <c r="BJ376" s="68" t="n">
        <f aca="false">BJ363+BJ371+BJ375</f>
        <v>-14429994.0230302</v>
      </c>
      <c r="BK376" s="68" t="n">
        <f aca="false">BK363+BK371+BK375</f>
        <v>-15041400.4656565</v>
      </c>
      <c r="BL376" s="68" t="n">
        <f aca="false">BL363+BL371+BL375</f>
        <v>-15652806.9082828</v>
      </c>
      <c r="BM376" s="68" t="n">
        <f aca="false">BM363+BM371+BM375</f>
        <v>-16276341.4797617</v>
      </c>
      <c r="BN376" s="68" t="n">
        <f aca="false">BN363+BN371+BN375</f>
        <v>-16899876.0512405</v>
      </c>
      <c r="BO376" s="68" t="n">
        <f aca="false">BO363+BO371+BO375</f>
        <v>-17523410.6227194</v>
      </c>
      <c r="BP376" s="68" t="n">
        <f aca="false">BP363+BP371+BP375</f>
        <v>-18146945.1941982</v>
      </c>
      <c r="BQ376" s="68" t="n">
        <f aca="false">BQ363+BQ371+BQ375</f>
        <v>-18770479.7656771</v>
      </c>
      <c r="BR376" s="68" t="n">
        <f aca="false">BR363+BR371+BR375</f>
        <v>-19340763.9871559</v>
      </c>
      <c r="BS376" s="68" t="n">
        <f aca="false">BS363+BS371+BS375</f>
        <v>-19964298.5586347</v>
      </c>
      <c r="BT376" s="68" t="n">
        <f aca="false">BT363+BT371+BT375</f>
        <v>-20587833.1301136</v>
      </c>
      <c r="BU376" s="68" t="n">
        <f aca="false">BU363+BU371+BU375</f>
        <v>-21143605.7015924</v>
      </c>
      <c r="BV376" s="68" t="n">
        <f aca="false">BV363+BV371+BV375</f>
        <v>-21767140.2730713</v>
      </c>
      <c r="BW376" s="68" t="n">
        <f aca="false">BW363+BW371+BW375</f>
        <v>-22390674.8445501</v>
      </c>
      <c r="BX376" s="68" t="n">
        <f aca="false">BX363+BX371+BX375</f>
        <v>-22946447.416029</v>
      </c>
      <c r="BY376" s="68" t="n">
        <f aca="false">BY363+BY371+BY375</f>
        <v>-23582352.6789374</v>
      </c>
      <c r="BZ376" s="68" t="n">
        <f aca="false">BZ363+BZ371+BZ375</f>
        <v>-24218257.9418458</v>
      </c>
      <c r="CA376" s="68" t="n">
        <f aca="false">CA363+CA371+CA375</f>
        <v>-24786401.2047542</v>
      </c>
      <c r="CB376" s="68" t="n">
        <f aca="false">CB363+CB371+CB375</f>
        <v>-25422306.4676626</v>
      </c>
      <c r="CC376" s="68" t="n">
        <f aca="false">CC363+CC371+CC375</f>
        <v>-26058211.7305711</v>
      </c>
      <c r="CD376" s="68" t="n">
        <f aca="false">CD363+CD371+CD375</f>
        <v>-26617617.9934795</v>
      </c>
      <c r="CE376" s="68" t="n">
        <f aca="false">CE363+CE371+CE375</f>
        <v>-27253523.2563879</v>
      </c>
      <c r="CF376" s="68" t="n">
        <f aca="false">CF363+CF371+CF375</f>
        <v>-27889428.5192963</v>
      </c>
      <c r="CG376" s="68" t="n">
        <f aca="false">CG363+CG371+CG375</f>
        <v>-28448834.7822048</v>
      </c>
      <c r="CH376" s="68" t="n">
        <f aca="false">CH363+CH371+CH375</f>
        <v>-29084740.0451132</v>
      </c>
      <c r="CI376" s="68" t="n">
        <f aca="false">CI363+CI371+CI375</f>
        <v>-29720645.3080216</v>
      </c>
      <c r="CJ376" s="68" t="n">
        <f aca="false">CJ363+CJ371+CJ375</f>
        <v>-30280051.57093</v>
      </c>
      <c r="CK376" s="68" t="n">
        <f aca="false">CK363+CK371+CK375</f>
        <v>-30852075.9390966</v>
      </c>
      <c r="CL376" s="68" t="n">
        <f aca="false">CL363+CL371+CL375</f>
        <v>-31424100.3072632</v>
      </c>
      <c r="CM376" s="68" t="n">
        <f aca="false">CM363+CM371+CM375</f>
        <v>-31996124.6754298</v>
      </c>
      <c r="CN376" s="68" t="n">
        <f aca="false">CN363+CN371+CN375</f>
        <v>-32568149.0435964</v>
      </c>
      <c r="CO376" s="68" t="n">
        <f aca="false">CO363+CO371+CO375</f>
        <v>-33140173.411763</v>
      </c>
      <c r="CP376" s="68" t="n">
        <f aca="false">CP363+CP371+CP375</f>
        <v>-33712197.7799296</v>
      </c>
      <c r="CQ376" s="68" t="n">
        <f aca="false">CQ363+CQ371+CQ375</f>
        <v>-34284222.1480962</v>
      </c>
      <c r="CR376" s="68" t="n">
        <f aca="false">CR363+CR371+CR375</f>
        <v>-34856246.5162627</v>
      </c>
      <c r="CS376" s="68" t="n">
        <f aca="false">CS363+CS371+CS375</f>
        <v>-35428270.8844293</v>
      </c>
      <c r="CT376" s="68" t="n">
        <f aca="false">CT363+CT371+CT375</f>
        <v>-35939493.1243032</v>
      </c>
      <c r="CU376" s="68" t="n">
        <f aca="false">CU363+CU371+CU375</f>
        <v>-36450715.364177</v>
      </c>
      <c r="CV376" s="68" t="n">
        <f aca="false">CV363+CV371+CV375</f>
        <v>-36961937.6040508</v>
      </c>
      <c r="CW376" s="68" t="n">
        <f aca="false">CW363+CW371+CW375</f>
        <v>-37484814.2687221</v>
      </c>
      <c r="CX376" s="68" t="n">
        <f aca="false">CX363+CX371+CX375</f>
        <v>-38007690.9333933</v>
      </c>
      <c r="CY376" s="68" t="n">
        <f aca="false">CY363+CY371+CY375</f>
        <v>-38530567.5980646</v>
      </c>
      <c r="CZ376" s="68" t="n">
        <f aca="false">CZ363+CZ371+CZ375</f>
        <v>-39053444.2627359</v>
      </c>
      <c r="DA376" s="68" t="n">
        <f aca="false">DA363+DA371+DA375</f>
        <v>-39576320.9274072</v>
      </c>
      <c r="DB376" s="68" t="n">
        <f aca="false">DB363+DB371+DB375</f>
        <v>-40099197.5920785</v>
      </c>
      <c r="DC376" s="68" t="n">
        <f aca="false">DC363+DC371+DC375</f>
        <v>-40622074.2567498</v>
      </c>
      <c r="DD376" s="68" t="n">
        <f aca="false">DD363+DD371+DD375</f>
        <v>-41144950.9214211</v>
      </c>
      <c r="DE376" s="68" t="n">
        <f aca="false">DE363+DE371+DE375</f>
        <v>-41667827.5860924</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3.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2062283.05042654</v>
      </c>
      <c r="R405" s="13" t="n">
        <f aca="false">IF(R$4="Actuals",IF(S$4="Actuals","",S355),R363)</f>
        <v>2338864.60365527</v>
      </c>
      <c r="S405" s="13" t="n">
        <f aca="false">IF(S$4="Actuals",IF(T$4="Actuals","",T355),S363)</f>
        <v>2559058.240884</v>
      </c>
      <c r="T405" s="13" t="n">
        <f aca="false">IF(T$4="Actuals",IF(U$4="Actuals","",U355),T363)</f>
        <v>2685282.29461273</v>
      </c>
      <c r="U405" s="13" t="n">
        <f aca="false">IF(U$4="Actuals",IF(V$4="Actuals","",V355),U363)</f>
        <v>3015305.39484146</v>
      </c>
      <c r="V405" s="13" t="n">
        <f aca="false">IF(V$4="Actuals",IF(W$4="Actuals","",W355),V363)</f>
        <v>3313765.09672404</v>
      </c>
      <c r="W405" s="13" t="n">
        <f aca="false">IF(W$4="Actuals",IF(X$4="Actuals","",X355),W363)</f>
        <v>3675122.93595276</v>
      </c>
      <c r="X405" s="13" t="n">
        <f aca="false">IF(X$4="Actuals",IF(Y$4="Actuals","",Y355),X363)</f>
        <v>3826178.1811815</v>
      </c>
      <c r="Y405" s="13" t="n">
        <f aca="false">IF(Y$4="Actuals",IF(Z$4="Actuals","",Z355),Y363)</f>
        <v>4155783.84125638</v>
      </c>
      <c r="Z405" s="13" t="n">
        <f aca="false">IF(Z$4="Actuals",IF(AA$4="Actuals","",AA355),Z363)</f>
        <v>4331932.01656203</v>
      </c>
      <c r="AA405" s="13" t="n">
        <f aca="false">IF(AA$4="Actuals",IF(AB$4="Actuals","",AB355),AA363)</f>
        <v>4751171.2086227</v>
      </c>
      <c r="AB405" s="13" t="n">
        <f aca="false">IF(AB$4="Actuals",IF(AC$4="Actuals","",AC355),AB363)</f>
        <v>5204162.93996363</v>
      </c>
      <c r="AC405" s="13" t="n">
        <f aca="false">IF(AC$4="Actuals",IF(AD$4="Actuals","",AD355),AC363)</f>
        <v>5414400.34085506</v>
      </c>
      <c r="AD405" s="13" t="n">
        <f aca="false">IF(AD$4="Actuals",IF(AE$4="Actuals","",AE355),AD363)</f>
        <v>5416687.85392602</v>
      </c>
      <c r="AE405" s="13" t="n">
        <f aca="false">IF(AE$4="Actuals",IF(AF$4="Actuals","",AF355),AE363)</f>
        <v>5442378.67649698</v>
      </c>
      <c r="AF405" s="13" t="n">
        <f aca="false">IF(AF$4="Actuals",IF(AG$4="Actuals","",AG355),AF363)</f>
        <v>5587373.25247691</v>
      </c>
      <c r="AG405" s="13" t="n">
        <f aca="false">IF(AG$4="Actuals",IF(AH$4="Actuals","",AH355),AG363)</f>
        <v>5827279.94052522</v>
      </c>
      <c r="AH405" s="13" t="n">
        <f aca="false">IF(AH$4="Actuals",IF(AI$4="Actuals","",AI355),AH363)</f>
        <v>5926468.4964922</v>
      </c>
      <c r="AI405" s="13" t="n">
        <f aca="false">IF(AI$4="Actuals",IF(AJ$4="Actuals","",AJ355),AI363)</f>
        <v>5889272.07299728</v>
      </c>
      <c r="AJ405" s="13" t="n">
        <f aca="false">IF(AJ$4="Actuals",IF(AK$4="Actuals","",AK355),AJ363)</f>
        <v>5973636.35409172</v>
      </c>
      <c r="AK405" s="13" t="n">
        <f aca="false">IF(AK$4="Actuals",IF(AL$4="Actuals","",AL355),AK363)</f>
        <v>5948092.3261266</v>
      </c>
      <c r="AL405" s="13" t="n">
        <f aca="false">IF(AL$4="Actuals",IF(AM$4="Actuals","",AM355),AL363)</f>
        <v>5667498.3758526</v>
      </c>
      <c r="AM405" s="13" t="n">
        <f aca="false">IF(AM$4="Actuals",IF(AN$4="Actuals","",AN355),AM363)</f>
        <v>5400620.40657861</v>
      </c>
      <c r="AN405" s="13" t="n">
        <f aca="false">IF(AN$4="Actuals",IF(AO$4="Actuals","",AO355),AN363)</f>
        <v>5408420.21580461</v>
      </c>
      <c r="AO405" s="13" t="n">
        <f aca="false">IF(AO$4="Actuals",IF(AP$4="Actuals","",AP355),AO363)</f>
        <v>5044442.78320513</v>
      </c>
      <c r="AP405" s="13" t="n">
        <f aca="false">IF(AP$4="Actuals",IF(AQ$4="Actuals","",AQ355),AP363)</f>
        <v>4640536.74060565</v>
      </c>
      <c r="AQ405" s="13" t="n">
        <f aca="false">IF(AQ$4="Actuals",IF(AR$4="Actuals","",AR355),AQ363)</f>
        <v>4236630.69800617</v>
      </c>
      <c r="AR405" s="13" t="n">
        <f aca="false">IF(AR$4="Actuals",IF(AS$4="Actuals","",AS355),AR363)</f>
        <v>3832724.65540669</v>
      </c>
      <c r="AS405" s="13" t="n">
        <f aca="false">IF(AS$4="Actuals",IF(AT$4="Actuals","",AT355),AS363)</f>
        <v>3428818.61280721</v>
      </c>
      <c r="AT405" s="13" t="n">
        <f aca="false">IF(AT$4="Actuals",IF(AU$4="Actuals","",AU355),AT363)</f>
        <v>3024912.57020773</v>
      </c>
      <c r="AU405" s="13" t="n">
        <f aca="false">IF(AU$4="Actuals",IF(AV$4="Actuals","",AV355),AU363)</f>
        <v>2621006.52760825</v>
      </c>
      <c r="AV405" s="13" t="n">
        <f aca="false">IF(AV$4="Actuals",IF(AW$4="Actuals","",AW355),AV363)</f>
        <v>2217100.48500877</v>
      </c>
      <c r="AW405" s="13" t="n">
        <f aca="false">IF(AW$4="Actuals",IF(AX$4="Actuals","",AX355),AW363)</f>
        <v>1813194.44240929</v>
      </c>
      <c r="AX405" s="13" t="n">
        <f aca="false">IF(AX$4="Actuals",IF(AY$4="Actuals","",AY355),AX363)</f>
        <v>1409288.39980981</v>
      </c>
      <c r="AY405" s="13" t="n">
        <f aca="false">IF(AY$4="Actuals",IF(AZ$4="Actuals","",AZ355),AY363)</f>
        <v>1005382.35721033</v>
      </c>
      <c r="AZ405" s="13" t="n">
        <f aca="false">IF(AZ$4="Actuals",IF(BA$4="Actuals","",BA355),AZ363)</f>
        <v>601476.314610845</v>
      </c>
      <c r="BA405" s="13" t="n">
        <f aca="false">IF(BA$4="Actuals",IF(BB$4="Actuals","",BB355),BA363)</f>
        <v>189492.151159376</v>
      </c>
      <c r="BB405" s="13" t="n">
        <f aca="false">IF(BB$4="Actuals",IF(BC$4="Actuals","",BC355),BB363)</f>
        <v>-222492.012292094</v>
      </c>
      <c r="BC405" s="13" t="n">
        <f aca="false">IF(BC$4="Actuals",IF(BD$4="Actuals","",BD355),BC363)</f>
        <v>-634476.175743564</v>
      </c>
      <c r="BD405" s="13" t="n">
        <f aca="false">IF(BD$4="Actuals",IF(BE$4="Actuals","",BE355),BD363)</f>
        <v>-1046460.33919503</v>
      </c>
      <c r="BE405" s="13" t="n">
        <f aca="false">IF(BE$4="Actuals",IF(BF$4="Actuals","",BF355),BE363)</f>
        <v>-1458444.5026465</v>
      </c>
      <c r="BF405" s="13" t="n">
        <f aca="false">IF(BF$4="Actuals",IF(BG$4="Actuals","",BG355),BF363)</f>
        <v>-1870428.66609797</v>
      </c>
      <c r="BG405" s="13" t="n">
        <f aca="false">IF(BG$4="Actuals",IF(BH$4="Actuals","",BH355),BG363)</f>
        <v>-2282412.82954944</v>
      </c>
      <c r="BH405" s="13" t="n">
        <f aca="false">IF(BH$4="Actuals",IF(BI$4="Actuals","",BI355),BH363)</f>
        <v>-2694396.99300091</v>
      </c>
      <c r="BI405" s="13" t="n">
        <f aca="false">IF(BI$4="Actuals",IF(BJ$4="Actuals","",BJ355),BI363)</f>
        <v>-3106381.15645238</v>
      </c>
      <c r="BJ405" s="13" t="n">
        <f aca="false">IF(BJ$4="Actuals",IF(BK$4="Actuals","",BK355),BJ363)</f>
        <v>-3518365.31990385</v>
      </c>
      <c r="BK405" s="13" t="n">
        <f aca="false">IF(BK$4="Actuals",IF(BL$4="Actuals","",BL355),BK363)</f>
        <v>-3930349.48335532</v>
      </c>
      <c r="BL405" s="13" t="n">
        <f aca="false">IF(BL$4="Actuals",IF(BM$4="Actuals","",BM355),BL363)</f>
        <v>-4342333.64680679</v>
      </c>
      <c r="BM405" s="13" t="n">
        <f aca="false">IF(BM$4="Actuals",IF(BN$4="Actuals","",BN355),BM363)</f>
        <v>-4762557.49352729</v>
      </c>
      <c r="BN405" s="13" t="n">
        <f aca="false">IF(BN$4="Actuals",IF(BO$4="Actuals","",BO355),BN363)</f>
        <v>-5182781.34024779</v>
      </c>
      <c r="BO405" s="13" t="n">
        <f aca="false">IF(BO$4="Actuals",IF(BP$4="Actuals","",BP355),BO363)</f>
        <v>-5603005.18696829</v>
      </c>
      <c r="BP405" s="13" t="n">
        <f aca="false">IF(BP$4="Actuals",IF(BQ$4="Actuals","",BQ355),BP363)</f>
        <v>-6023229.03368879</v>
      </c>
      <c r="BQ405" s="13" t="n">
        <f aca="false">IF(BQ$4="Actuals",IF(BR$4="Actuals","",BR355),BQ363)</f>
        <v>-6443452.88040928</v>
      </c>
      <c r="BR405" s="13" t="n">
        <f aca="false">IF(BR$4="Actuals",IF(BS$4="Actuals","",BS355),BR363)</f>
        <v>-6863676.72712978</v>
      </c>
      <c r="BS405" s="13" t="n">
        <f aca="false">IF(BS$4="Actuals",IF(BT$4="Actuals","",BT355),BS363)</f>
        <v>-7283900.57385028</v>
      </c>
      <c r="BT405" s="13" t="n">
        <f aca="false">IF(BT$4="Actuals",IF(BU$4="Actuals","",BU355),BT363)</f>
        <v>-7704124.42057078</v>
      </c>
      <c r="BU405" s="13" t="n">
        <f aca="false">IF(BU$4="Actuals",IF(BV$4="Actuals","",BV355),BU363)</f>
        <v>-8124348.26729128</v>
      </c>
      <c r="BV405" s="13" t="n">
        <f aca="false">IF(BV$4="Actuals",IF(BW$4="Actuals","",BW355),BV363)</f>
        <v>-8544572.11401178</v>
      </c>
      <c r="BW405" s="13" t="n">
        <f aca="false">IF(BW$4="Actuals",IF(BX$4="Actuals","",BX355),BW363)</f>
        <v>-8964795.96073228</v>
      </c>
      <c r="BX405" s="13" t="n">
        <f aca="false">IF(BX$4="Actuals",IF(BY$4="Actuals","",BY355),BX363)</f>
        <v>-9385019.80745278</v>
      </c>
      <c r="BY405" s="13" t="n">
        <f aca="false">IF(BY$4="Actuals",IF(BZ$4="Actuals","",BZ355),BY363)</f>
        <v>-9813648.13110768</v>
      </c>
      <c r="BZ405" s="13" t="n">
        <f aca="false">IF(BZ$4="Actuals",IF(CA$4="Actuals","",CA355),BZ363)</f>
        <v>-10242276.4547626</v>
      </c>
      <c r="CA405" s="13" t="n">
        <f aca="false">IF(CA$4="Actuals",IF(CB$4="Actuals","",CB355),CA363)</f>
        <v>-10670904.7784175</v>
      </c>
      <c r="CB405" s="13" t="n">
        <f aca="false">IF(CB$4="Actuals",IF(CC$4="Actuals","",CC355),CB363)</f>
        <v>-11099533.1020724</v>
      </c>
      <c r="CC405" s="13" t="n">
        <f aca="false">IF(CC$4="Actuals",IF(CD$4="Actuals","",CD355),CC363)</f>
        <v>-11528161.4257273</v>
      </c>
      <c r="CD405" s="13" t="n">
        <f aca="false">IF(CD$4="Actuals",IF(CE$4="Actuals","",CE355),CD363)</f>
        <v>-11956789.7493822</v>
      </c>
      <c r="CE405" s="13" t="n">
        <f aca="false">IF(CE$4="Actuals",IF(CF$4="Actuals","",CF355),CE363)</f>
        <v>-12385418.0730371</v>
      </c>
      <c r="CF405" s="13" t="n">
        <f aca="false">IF(CF$4="Actuals",IF(CG$4="Actuals","",CG355),CF363)</f>
        <v>-12814046.396692</v>
      </c>
      <c r="CG405" s="13" t="n">
        <f aca="false">IF(CG$4="Actuals",IF(CH$4="Actuals","",CH355),CG363)</f>
        <v>-13242674.720347</v>
      </c>
      <c r="CH405" s="13" t="n">
        <f aca="false">IF(CH$4="Actuals",IF(CI$4="Actuals","",CI355),CH363)</f>
        <v>-13671303.0440019</v>
      </c>
      <c r="CI405" s="13" t="n">
        <f aca="false">IF(CI$4="Actuals",IF(CJ$4="Actuals","",CJ355),CI363)</f>
        <v>-14099931.3676568</v>
      </c>
      <c r="CJ405" s="13" t="n">
        <f aca="false">IF(CJ$4="Actuals",IF(CK$4="Actuals","",CK355),CJ363)</f>
        <v>-14528559.6913117</v>
      </c>
      <c r="CK405" s="13" t="n">
        <f aca="false">IF(CK$4="Actuals",IF(CL$4="Actuals","",CL355),CK363)</f>
        <v>-14965760.5814397</v>
      </c>
      <c r="CL405" s="13" t="n">
        <f aca="false">IF(CL$4="Actuals",IF(CM$4="Actuals","",CM355),CL363)</f>
        <v>-15402961.4715677</v>
      </c>
      <c r="CM405" s="13" t="n">
        <f aca="false">IF(CM$4="Actuals",IF(CN$4="Actuals","",CN355),CM363)</f>
        <v>-15840162.3616957</v>
      </c>
      <c r="CN405" s="13" t="n">
        <f aca="false">IF(CN$4="Actuals",IF(CO$4="Actuals","",CO355),CN363)</f>
        <v>-16277363.2518237</v>
      </c>
      <c r="CO405" s="13" t="n">
        <f aca="false">IF(CO$4="Actuals",IF(CP$4="Actuals","",CP355),CO363)</f>
        <v>-16714564.1419517</v>
      </c>
      <c r="CP405" s="13" t="n">
        <f aca="false">IF(CP$4="Actuals",IF(CQ$4="Actuals","",CQ355),CP363)</f>
        <v>-17151765.0320797</v>
      </c>
      <c r="CQ405" s="13" t="n">
        <f aca="false">IF(CQ$4="Actuals",IF(CR$4="Actuals","",CR355),CQ363)</f>
        <v>-17588965.9222077</v>
      </c>
      <c r="CR405" s="13" t="n">
        <f aca="false">IF(CR$4="Actuals",IF(CS$4="Actuals","",CS355),CR363)</f>
        <v>-18026166.8123357</v>
      </c>
      <c r="CS405" s="13" t="n">
        <f aca="false">IF(CS$4="Actuals",IF(CT$4="Actuals","",CT355),CS363)</f>
        <v>-18463367.7024637</v>
      </c>
      <c r="CT405" s="13" t="n">
        <f aca="false">IF(CT$4="Actuals",IF(CU$4="Actuals","",CU355),CT363)</f>
        <v>-18848788.4329803</v>
      </c>
      <c r="CU405" s="13" t="n">
        <f aca="false">IF(CU$4="Actuals",IF(CV$4="Actuals","",CV355),CU363)</f>
        <v>-19234209.1634969</v>
      </c>
      <c r="CV405" s="13" t="n">
        <f aca="false">IF(CV$4="Actuals",IF(CW$4="Actuals","",CW355),CV363)</f>
        <v>-19619629.8940134</v>
      </c>
      <c r="CW405" s="13" t="n">
        <f aca="false">IF(CW$4="Actuals",IF(CX$4="Actuals","",CX355),CW363)</f>
        <v>-20012759.0391403</v>
      </c>
      <c r="CX405" s="13" t="n">
        <f aca="false">IF(CX$4="Actuals",IF(CY$4="Actuals","",CY355),CX363)</f>
        <v>-20405888.1842672</v>
      </c>
      <c r="CY405" s="13" t="n">
        <f aca="false">IF(CY$4="Actuals",IF(CZ$4="Actuals","",CZ355),CY363)</f>
        <v>-20799017.3293941</v>
      </c>
      <c r="CZ405" s="13" t="n">
        <f aca="false">IF(CZ$4="Actuals",IF(DA$4="Actuals","",DA355),CZ363)</f>
        <v>-21192146.474521</v>
      </c>
      <c r="DA405" s="13" t="n">
        <f aca="false">IF(DA$4="Actuals",IF(DB$4="Actuals","",DB355),DA363)</f>
        <v>-21585275.6196479</v>
      </c>
      <c r="DB405" s="13" t="n">
        <f aca="false">IF(DB$4="Actuals",IF(DC$4="Actuals","",DC355),DB363)</f>
        <v>-21978404.7647748</v>
      </c>
      <c r="DC405" s="13" t="n">
        <f aca="false">IF(DC$4="Actuals",IF(DD$4="Actuals","",DD355),DC363)</f>
        <v>-22371533.9099017</v>
      </c>
      <c r="DD405" s="13" t="n">
        <f aca="false">IF(DD$4="Actuals",IF(DE$4="Actuals","",DE355),DD363)</f>
        <v>-22764663.0550285</v>
      </c>
      <c r="DE405" s="13" t="n">
        <f aca="false">IF(DE$4="Actuals",IF(DF$4="Actuals","",DF355),DE363)</f>
        <v>-23157792.2001554</v>
      </c>
    </row>
    <row r="406" customFormat="false" ht="13.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3.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3.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3.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3.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3.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3.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-186092.864786967</v>
      </c>
      <c r="O413" s="13" t="n">
        <f aca="false">IF(O$4="Actuals",IF(P$4="Actuals","",P366),O371)</f>
        <v>-435771.158646616</v>
      </c>
      <c r="P413" s="13" t="n">
        <f aca="false">IF(P$4="Actuals",IF(Q$4="Actuals","",Q366),P371)</f>
        <v>-684949.452506266</v>
      </c>
      <c r="Q413" s="13" t="n">
        <f aca="false">IF(Q$4="Actuals",IF(R$4="Actuals","",R366),Q371)</f>
        <v>-937720.069032581</v>
      </c>
      <c r="R413" s="13" t="n">
        <f aca="false">IF(R$4="Actuals",IF(S$4="Actuals","",S366),R371)</f>
        <v>-1190490.6855589</v>
      </c>
      <c r="S413" s="13" t="n">
        <f aca="false">IF(S$4="Actuals",IF(T$4="Actuals","",T366),S371)</f>
        <v>-1443261.30208521</v>
      </c>
      <c r="T413" s="13" t="n">
        <f aca="false">IF(T$4="Actuals",IF(U$4="Actuals","",U366),T371)</f>
        <v>-1721538.16861153</v>
      </c>
      <c r="U413" s="13" t="n">
        <f aca="false">IF(U$4="Actuals",IF(V$4="Actuals","",V366),U371)</f>
        <v>-1998215.03513784</v>
      </c>
      <c r="V413" s="13" t="n">
        <f aca="false">IF(V$4="Actuals",IF(W$4="Actuals","",W366),V371)</f>
        <v>-2274891.90166416</v>
      </c>
      <c r="W413" s="13" t="n">
        <f aca="false">IF(W$4="Actuals",IF(X$4="Actuals","",X366),W371)</f>
        <v>-2551568.76819048</v>
      </c>
      <c r="X413" s="13" t="n">
        <f aca="false">IF(X$4="Actuals",IF(Y$4="Actuals","",Y366),X371)</f>
        <v>-2828784.43471679</v>
      </c>
      <c r="Y413" s="13" t="n">
        <f aca="false">IF(Y$4="Actuals",IF(Z$4="Actuals","",Z366),Y371)</f>
        <v>-3048625.10124311</v>
      </c>
      <c r="Z413" s="13" t="n">
        <f aca="false">IF(Z$4="Actuals",IF(AA$4="Actuals","",AA366),Z371)</f>
        <v>-3333017.76776942</v>
      </c>
      <c r="AA413" s="13" t="n">
        <f aca="false">IF(AA$4="Actuals",IF(AB$4="Actuals","",AB366),AA371)</f>
        <v>-3867410.43429574</v>
      </c>
      <c r="AB413" s="13" t="n">
        <f aca="false">IF(AB$4="Actuals",IF(AC$4="Actuals","",AC366),AB371)</f>
        <v>-4094428.10082206</v>
      </c>
      <c r="AC413" s="13" t="n">
        <f aca="false">IF(AC$4="Actuals",IF(AD$4="Actuals","",AD366),AC371)</f>
        <v>-4382484.93646837</v>
      </c>
      <c r="AD413" s="13" t="n">
        <f aca="false">IF(AD$4="Actuals",IF(AE$4="Actuals","",AE366),AD371)</f>
        <v>-4670541.77211469</v>
      </c>
      <c r="AE413" s="13" t="n">
        <f aca="false">IF(AE$4="Actuals",IF(AF$4="Actuals","",AF366),AE371)</f>
        <v>-4881205.0380396</v>
      </c>
      <c r="AF413" s="13" t="n">
        <f aca="false">IF(AF$4="Actuals",IF(AG$4="Actuals","",AG366),AF371)</f>
        <v>-5057261.87368592</v>
      </c>
      <c r="AG413" s="13" t="n">
        <f aca="false">IF(AG$4="Actuals",IF(AH$4="Actuals","",AH366),AG371)</f>
        <v>-5236476.60406907</v>
      </c>
      <c r="AH413" s="13" t="n">
        <f aca="false">IF(AH$4="Actuals",IF(AI$4="Actuals","",AI366),AH371)</f>
        <v>-5418849.22918907</v>
      </c>
      <c r="AI413" s="13" t="n">
        <f aca="false">IF(AI$4="Actuals",IF(AJ$4="Actuals","",AJ366),AI371)</f>
        <v>-5610721.85430907</v>
      </c>
      <c r="AJ413" s="13" t="n">
        <f aca="false">IF(AJ$4="Actuals",IF(AK$4="Actuals","",AK366),AJ371)</f>
        <v>-5802594.47942907</v>
      </c>
      <c r="AK413" s="13" t="n">
        <f aca="false">IF(AK$4="Actuals",IF(AL$4="Actuals","",AL366),AK371)</f>
        <v>-5994467.10454907</v>
      </c>
      <c r="AL413" s="13" t="n">
        <f aca="false">IF(AL$4="Actuals",IF(AM$4="Actuals","",AM366),AL371)</f>
        <v>-6186339.72966907</v>
      </c>
      <c r="AM413" s="13" t="n">
        <f aca="false">IF(AM$4="Actuals",IF(AN$4="Actuals","",AN366),AM371)</f>
        <v>-6378212.35478907</v>
      </c>
      <c r="AN413" s="13" t="n">
        <f aca="false">IF(AN$4="Actuals",IF(AO$4="Actuals","",AO366),AN371)</f>
        <v>-6570084.97990907</v>
      </c>
      <c r="AO413" s="13" t="n">
        <f aca="false">IF(AO$4="Actuals",IF(AP$4="Actuals","",AP366),AO371)</f>
        <v>-6765695.05753147</v>
      </c>
      <c r="AP413" s="13" t="n">
        <f aca="false">IF(AP$4="Actuals",IF(AQ$4="Actuals","",AQ366),AP371)</f>
        <v>-6961305.13515387</v>
      </c>
      <c r="AQ413" s="13" t="n">
        <f aca="false">IF(AQ$4="Actuals",IF(AR$4="Actuals","",AR366),AQ371)</f>
        <v>-7156915.21277627</v>
      </c>
      <c r="AR413" s="13" t="n">
        <f aca="false">IF(AR$4="Actuals",IF(AS$4="Actuals","",AS366),AR371)</f>
        <v>-7352525.29039867</v>
      </c>
      <c r="AS413" s="13" t="n">
        <f aca="false">IF(AS$4="Actuals",IF(AT$4="Actuals","",AT366),AS371)</f>
        <v>-7548135.36802107</v>
      </c>
      <c r="AT413" s="13" t="n">
        <f aca="false">IF(AT$4="Actuals",IF(AU$4="Actuals","",AU366),AT371)</f>
        <v>-7743745.44564347</v>
      </c>
      <c r="AU413" s="13" t="n">
        <f aca="false">IF(AU$4="Actuals",IF(AV$4="Actuals","",AV366),AU371)</f>
        <v>-7939355.52326587</v>
      </c>
      <c r="AV413" s="13" t="n">
        <f aca="false">IF(AV$4="Actuals",IF(AW$4="Actuals","",AW366),AV371)</f>
        <v>-8134965.60088827</v>
      </c>
      <c r="AW413" s="13" t="n">
        <f aca="false">IF(AW$4="Actuals",IF(AX$4="Actuals","",AX366),AW371)</f>
        <v>-8330575.67851067</v>
      </c>
      <c r="AX413" s="13" t="n">
        <f aca="false">IF(AX$4="Actuals",IF(AY$4="Actuals","",AY366),AX371)</f>
        <v>-8526185.75613307</v>
      </c>
      <c r="AY413" s="13" t="n">
        <f aca="false">IF(AY$4="Actuals",IF(AZ$4="Actuals","",AZ366),AY371)</f>
        <v>-8721795.83375547</v>
      </c>
      <c r="AZ413" s="13" t="n">
        <f aca="false">IF(AZ$4="Actuals",IF(BA$4="Actuals","",BA366),AZ371)</f>
        <v>-8917405.91137787</v>
      </c>
      <c r="BA413" s="13" t="n">
        <f aca="false">IF(BA$4="Actuals",IF(BB$4="Actuals","",BB366),BA371)</f>
        <v>-9116828.19055272</v>
      </c>
      <c r="BB413" s="13" t="n">
        <f aca="false">IF(BB$4="Actuals",IF(BC$4="Actuals","",BC366),BB371)</f>
        <v>-9316250.46972757</v>
      </c>
      <c r="BC413" s="13" t="n">
        <f aca="false">IF(BC$4="Actuals",IF(BD$4="Actuals","",BD366),BC371)</f>
        <v>-9515672.74890241</v>
      </c>
      <c r="BD413" s="13" t="n">
        <f aca="false">IF(BD$4="Actuals",IF(BE$4="Actuals","",BE366),BD371)</f>
        <v>-9715095.02807726</v>
      </c>
      <c r="BE413" s="13" t="n">
        <f aca="false">IF(BE$4="Actuals",IF(BF$4="Actuals","",BF366),BE371)</f>
        <v>-9914517.30725211</v>
      </c>
      <c r="BF413" s="13" t="n">
        <f aca="false">IF(BF$4="Actuals",IF(BG$4="Actuals","",BG366),BF371)</f>
        <v>-10113939.586427</v>
      </c>
      <c r="BG413" s="13" t="n">
        <f aca="false">IF(BG$4="Actuals",IF(BH$4="Actuals","",BH366),BG371)</f>
        <v>-10313361.8656018</v>
      </c>
      <c r="BH413" s="13" t="n">
        <f aca="false">IF(BH$4="Actuals",IF(BI$4="Actuals","",BI366),BH371)</f>
        <v>-10512784.1447767</v>
      </c>
      <c r="BI413" s="13" t="n">
        <f aca="false">IF(BI$4="Actuals",IF(BJ$4="Actuals","",BJ366),BI371)</f>
        <v>-10712206.4239515</v>
      </c>
      <c r="BJ413" s="13" t="n">
        <f aca="false">IF(BJ$4="Actuals",IF(BK$4="Actuals","",BK366),BJ371)</f>
        <v>-10911628.7031263</v>
      </c>
      <c r="BK413" s="13" t="n">
        <f aca="false">IF(BK$4="Actuals",IF(BL$4="Actuals","",BL366),BK371)</f>
        <v>-11111050.9823012</v>
      </c>
      <c r="BL413" s="13" t="n">
        <f aca="false">IF(BL$4="Actuals",IF(BM$4="Actuals","",BM366),BL371)</f>
        <v>-11310473.261476</v>
      </c>
      <c r="BM413" s="13" t="n">
        <f aca="false">IF(BM$4="Actuals",IF(BN$4="Actuals","",BN366),BM371)</f>
        <v>-11513783.9862344</v>
      </c>
      <c r="BN413" s="13" t="n">
        <f aca="false">IF(BN$4="Actuals",IF(BO$4="Actuals","",BO366),BN371)</f>
        <v>-11717094.7109927</v>
      </c>
      <c r="BO413" s="13" t="n">
        <f aca="false">IF(BO$4="Actuals",IF(BP$4="Actuals","",BP366),BO371)</f>
        <v>-11920405.4357511</v>
      </c>
      <c r="BP413" s="13" t="n">
        <f aca="false">IF(BP$4="Actuals",IF(BQ$4="Actuals","",BQ366),BP371)</f>
        <v>-12123716.1605094</v>
      </c>
      <c r="BQ413" s="13" t="n">
        <f aca="false">IF(BQ$4="Actuals",IF(BR$4="Actuals","",BR366),BQ371)</f>
        <v>-12327026.8852678</v>
      </c>
      <c r="BR413" s="13" t="n">
        <f aca="false">IF(BR$4="Actuals",IF(BS$4="Actuals","",BS366),BR371)</f>
        <v>-12477087.2600261</v>
      </c>
      <c r="BS413" s="13" t="n">
        <f aca="false">IF(BS$4="Actuals",IF(BT$4="Actuals","",BT366),BS371)</f>
        <v>-12680397.9847845</v>
      </c>
      <c r="BT413" s="13" t="n">
        <f aca="false">IF(BT$4="Actuals",IF(BU$4="Actuals","",BU366),BT371)</f>
        <v>-12883708.7095428</v>
      </c>
      <c r="BU413" s="13" t="n">
        <f aca="false">IF(BU$4="Actuals",IF(BV$4="Actuals","",BV366),BU371)</f>
        <v>-13019257.4343012</v>
      </c>
      <c r="BV413" s="13" t="n">
        <f aca="false">IF(BV$4="Actuals",IF(BW$4="Actuals","",BW366),BV371)</f>
        <v>-13222568.1590595</v>
      </c>
      <c r="BW413" s="13" t="n">
        <f aca="false">IF(BW$4="Actuals",IF(BX$4="Actuals","",BX366),BW371)</f>
        <v>-13425878.8838178</v>
      </c>
      <c r="BX413" s="13" t="n">
        <f aca="false">IF(BX$4="Actuals",IF(BY$4="Actuals","",BY366),BX371)</f>
        <v>-13561427.6085762</v>
      </c>
      <c r="BY413" s="13" t="n">
        <f aca="false">IF(BY$4="Actuals",IF(BZ$4="Actuals","",BZ366),BY371)</f>
        <v>-13768704.5478297</v>
      </c>
      <c r="BZ413" s="13" t="n">
        <f aca="false">IF(BZ$4="Actuals",IF(CA$4="Actuals","",CA366),BZ371)</f>
        <v>-13975981.4870832</v>
      </c>
      <c r="CA413" s="13" t="n">
        <f aca="false">IF(CA$4="Actuals",IF(CB$4="Actuals","",CB366),CA371)</f>
        <v>-14115496.4263367</v>
      </c>
      <c r="CB413" s="13" t="n">
        <f aca="false">IF(CB$4="Actuals",IF(CC$4="Actuals","",CC366),CB371)</f>
        <v>-14322773.3655902</v>
      </c>
      <c r="CC413" s="13" t="n">
        <f aca="false">IF(CC$4="Actuals",IF(CD$4="Actuals","",CD366),CC371)</f>
        <v>-14530050.3048438</v>
      </c>
      <c r="CD413" s="13" t="n">
        <f aca="false">IF(CD$4="Actuals",IF(CE$4="Actuals","",CE366),CD371)</f>
        <v>-14660828.2440973</v>
      </c>
      <c r="CE413" s="13" t="n">
        <f aca="false">IF(CE$4="Actuals",IF(CF$4="Actuals","",CF366),CE371)</f>
        <v>-14868105.1833508</v>
      </c>
      <c r="CF413" s="13" t="n">
        <f aca="false">IF(CF$4="Actuals",IF(CG$4="Actuals","",CG366),CF371)</f>
        <v>-15075382.1226043</v>
      </c>
      <c r="CG413" s="13" t="n">
        <f aca="false">IF(CG$4="Actuals",IF(CH$4="Actuals","",CH366),CG371)</f>
        <v>-15206160.0618578</v>
      </c>
      <c r="CH413" s="13" t="n">
        <f aca="false">IF(CH$4="Actuals",IF(CI$4="Actuals","",CI366),CH371)</f>
        <v>-15413437.0011113</v>
      </c>
      <c r="CI413" s="13" t="n">
        <f aca="false">IF(CI$4="Actuals",IF(CJ$4="Actuals","",CJ366),CI371)</f>
        <v>-15620713.9403648</v>
      </c>
      <c r="CJ413" s="13" t="n">
        <f aca="false">IF(CJ$4="Actuals",IF(CK$4="Actuals","",CK366),CJ371)</f>
        <v>-15751491.8796183</v>
      </c>
      <c r="CK413" s="13" t="n">
        <f aca="false">IF(CK$4="Actuals",IF(CL$4="Actuals","",CL366),CK371)</f>
        <v>-15886315.3576569</v>
      </c>
      <c r="CL413" s="13" t="n">
        <f aca="false">IF(CL$4="Actuals",IF(CM$4="Actuals","",CM366),CL371)</f>
        <v>-16021138.8356955</v>
      </c>
      <c r="CM413" s="13" t="n">
        <f aca="false">IF(CM$4="Actuals",IF(CN$4="Actuals","",CN366),CM371)</f>
        <v>-16155962.3137341</v>
      </c>
      <c r="CN413" s="13" t="n">
        <f aca="false">IF(CN$4="Actuals",IF(CO$4="Actuals","",CO366),CN371)</f>
        <v>-16290785.7917727</v>
      </c>
      <c r="CO413" s="13" t="n">
        <f aca="false">IF(CO$4="Actuals",IF(CP$4="Actuals","",CP366),CO371)</f>
        <v>-16425609.2698113</v>
      </c>
      <c r="CP413" s="13" t="n">
        <f aca="false">IF(CP$4="Actuals",IF(CQ$4="Actuals","",CQ366),CP371)</f>
        <v>-16560432.7478498</v>
      </c>
      <c r="CQ413" s="13" t="n">
        <f aca="false">IF(CQ$4="Actuals",IF(CR$4="Actuals","",CR366),CQ371)</f>
        <v>-16695256.2258884</v>
      </c>
      <c r="CR413" s="13" t="n">
        <f aca="false">IF(CR$4="Actuals",IF(CS$4="Actuals","",CS366),CR371)</f>
        <v>-16830079.703927</v>
      </c>
      <c r="CS413" s="13" t="n">
        <f aca="false">IF(CS$4="Actuals",IF(CT$4="Actuals","",CT366),CS371)</f>
        <v>-16964903.1819656</v>
      </c>
      <c r="CT413" s="13" t="n">
        <f aca="false">IF(CT$4="Actuals",IF(CU$4="Actuals","",CU366),CT371)</f>
        <v>-17090704.6913228</v>
      </c>
      <c r="CU413" s="13" t="n">
        <f aca="false">IF(CU$4="Actuals",IF(CV$4="Actuals","",CV366),CU371)</f>
        <v>-17216506.2006801</v>
      </c>
      <c r="CV413" s="13" t="n">
        <f aca="false">IF(CV$4="Actuals",IF(CW$4="Actuals","",CW366),CV371)</f>
        <v>-17342307.7100374</v>
      </c>
      <c r="CW413" s="13" t="n">
        <f aca="false">IF(CW$4="Actuals",IF(CX$4="Actuals","",CX366),CW371)</f>
        <v>-17472055.2295818</v>
      </c>
      <c r="CX413" s="13" t="n">
        <f aca="false">IF(CX$4="Actuals",IF(CY$4="Actuals","",CY366),CX371)</f>
        <v>-17601802.7491262</v>
      </c>
      <c r="CY413" s="13" t="n">
        <f aca="false">IF(CY$4="Actuals",IF(CZ$4="Actuals","",CZ366),CY371)</f>
        <v>-17731550.2686706</v>
      </c>
      <c r="CZ413" s="13" t="n">
        <f aca="false">IF(CZ$4="Actuals",IF(DA$4="Actuals","",DA366),CZ371)</f>
        <v>-17861297.788215</v>
      </c>
      <c r="DA413" s="13" t="n">
        <f aca="false">IF(DA$4="Actuals",IF(DB$4="Actuals","",DB366),DA371)</f>
        <v>-17991045.3077594</v>
      </c>
      <c r="DB413" s="13" t="n">
        <f aca="false">IF(DB$4="Actuals",IF(DC$4="Actuals","",DC366),DB371)</f>
        <v>-18120792.8273038</v>
      </c>
      <c r="DC413" s="13" t="n">
        <f aca="false">IF(DC$4="Actuals",IF(DD$4="Actuals","",DD366),DC371)</f>
        <v>-18250540.3468482</v>
      </c>
      <c r="DD413" s="13" t="n">
        <f aca="false">IF(DD$4="Actuals",IF(DE$4="Actuals","",DE366),DD371)</f>
        <v>-18380287.8663926</v>
      </c>
      <c r="DE413" s="13" t="n">
        <f aca="false">IF(DE$4="Actuals",IF(DF$4="Actuals","",DF366),DE371)</f>
        <v>-18510035.385937</v>
      </c>
    </row>
    <row r="414" customFormat="false" ht="13.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3.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3.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3.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3.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3.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3.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957724.80874267</v>
      </c>
      <c r="O421" s="13" t="n">
        <f aca="false">IF(O$4="Actuals",IF(P$4="Actuals","",P374),O376)</f>
        <v>988607.003789134</v>
      </c>
      <c r="P421" s="13" t="n">
        <f aca="false">IF(P$4="Actuals",IF(Q$4="Actuals","",Q374),P376)</f>
        <v>848793.687459426</v>
      </c>
      <c r="Q421" s="13" t="n">
        <f aca="false">IF(Q$4="Actuals",IF(R$4="Actuals","",R374),Q376)</f>
        <v>1124562.98139396</v>
      </c>
      <c r="R421" s="13" t="n">
        <f aca="false">IF(R$4="Actuals",IF(S$4="Actuals","",S374),R376)</f>
        <v>1148373.91809638</v>
      </c>
      <c r="S421" s="13" t="n">
        <f aca="false">IF(S$4="Actuals",IF(T$4="Actuals","",T374),S376)</f>
        <v>1115796.93879879</v>
      </c>
      <c r="T421" s="13" t="n">
        <f aca="false">IF(T$4="Actuals",IF(U$4="Actuals","",U374),T376)</f>
        <v>963744.126001203</v>
      </c>
      <c r="U421" s="13" t="n">
        <f aca="false">IF(U$4="Actuals",IF(V$4="Actuals","",V374),U376)</f>
        <v>1017090.35970362</v>
      </c>
      <c r="V421" s="13" t="n">
        <f aca="false">IF(V$4="Actuals",IF(W$4="Actuals","",W374),V376)</f>
        <v>1038873.19505988</v>
      </c>
      <c r="W421" s="13" t="n">
        <f aca="false">IF(W$4="Actuals",IF(X$4="Actuals","",X374),W376)</f>
        <v>1123554.16776229</v>
      </c>
      <c r="X421" s="13" t="n">
        <f aca="false">IF(X$4="Actuals",IF(Y$4="Actuals","",Y374),X376)</f>
        <v>997393.746464703</v>
      </c>
      <c r="Y421" s="13" t="n">
        <f aca="false">IF(Y$4="Actuals",IF(Z$4="Actuals","",Z374),Y376)</f>
        <v>1107158.74001327</v>
      </c>
      <c r="Z421" s="13" t="n">
        <f aca="false">IF(Z$4="Actuals",IF(AA$4="Actuals","",AA374),Z376)</f>
        <v>998914.248792607</v>
      </c>
      <c r="AA421" s="13" t="n">
        <f aca="false">IF(AA$4="Actuals",IF(AB$4="Actuals","",AB374),AA376)</f>
        <v>883760.774326964</v>
      </c>
      <c r="AB421" s="13" t="n">
        <f aca="false">IF(AB$4="Actuals",IF(AC$4="Actuals","",AC374),AB376)</f>
        <v>314984.468486662</v>
      </c>
      <c r="AC421" s="13" t="n">
        <f aca="false">IF(AC$4="Actuals",IF(AD$4="Actuals","",AD374),AC376)</f>
        <v>1031915.40438669</v>
      </c>
      <c r="AD421" s="13" t="n">
        <f aca="false">IF(AD$4="Actuals",IF(AE$4="Actuals","",AE374),AD376)</f>
        <v>746146.081811333</v>
      </c>
      <c r="AE421" s="13" t="n">
        <f aca="false">IF(AE$4="Actuals",IF(AF$4="Actuals","",AF374),AE376)</f>
        <v>561173.638457378</v>
      </c>
      <c r="AF421" s="13" t="n">
        <f aca="false">IF(AF$4="Actuals",IF(AG$4="Actuals","",AG374),AF376)</f>
        <v>530111.378790997</v>
      </c>
      <c r="AG421" s="13" t="n">
        <f aca="false">IF(AG$4="Actuals",IF(AH$4="Actuals","",AH374),AG376)</f>
        <v>590803.336456148</v>
      </c>
      <c r="AH421" s="13" t="n">
        <f aca="false">IF(AH$4="Actuals",IF(AI$4="Actuals","",AI374),AH376)</f>
        <v>507619.267303126</v>
      </c>
      <c r="AI421" s="13" t="n">
        <f aca="false">IF(AI$4="Actuals",IF(AJ$4="Actuals","",AJ374),AI376)</f>
        <v>278550.218688205</v>
      </c>
      <c r="AJ421" s="13" t="n">
        <f aca="false">IF(AJ$4="Actuals",IF(AK$4="Actuals","",AK374),AJ376)</f>
        <v>171041.874662646</v>
      </c>
      <c r="AK421" s="13" t="n">
        <f aca="false">IF(AK$4="Actuals",IF(AL$4="Actuals","",AL374),AK376)</f>
        <v>-46374.7784224683</v>
      </c>
      <c r="AL421" s="13" t="n">
        <f aca="false">IF(AL$4="Actuals",IF(AM$4="Actuals","",AM374),AL376)</f>
        <v>-518841.353816468</v>
      </c>
      <c r="AM421" s="13" t="n">
        <f aca="false">IF(AM$4="Actuals",IF(AN$4="Actuals","",AN374),AM376)</f>
        <v>-977591.948210468</v>
      </c>
      <c r="AN421" s="13" t="n">
        <f aca="false">IF(AN$4="Actuals",IF(AO$4="Actuals","",AO374),AN376)</f>
        <v>-1161664.76410447</v>
      </c>
      <c r="AO421" s="13" t="n">
        <f aca="false">IF(AO$4="Actuals",IF(AP$4="Actuals","",AP374),AO376)</f>
        <v>-1721252.27432635</v>
      </c>
      <c r="AP421" s="13" t="n">
        <f aca="false">IF(AP$4="Actuals",IF(AQ$4="Actuals","",AQ374),AP376)</f>
        <v>-2320768.39454823</v>
      </c>
      <c r="AQ421" s="13" t="n">
        <f aca="false">IF(AQ$4="Actuals",IF(AR$4="Actuals","",AR374),AQ376)</f>
        <v>-2920284.51477011</v>
      </c>
      <c r="AR421" s="13" t="n">
        <f aca="false">IF(AR$4="Actuals",IF(AS$4="Actuals","",AS374),AR376)</f>
        <v>-3519800.63499199</v>
      </c>
      <c r="AS421" s="13" t="n">
        <f aca="false">IF(AS$4="Actuals",IF(AT$4="Actuals","",AT374),AS376)</f>
        <v>-4119316.75521387</v>
      </c>
      <c r="AT421" s="13" t="n">
        <f aca="false">IF(AT$4="Actuals",IF(AU$4="Actuals","",AU374),AT376)</f>
        <v>-4718832.87543575</v>
      </c>
      <c r="AU421" s="13" t="n">
        <f aca="false">IF(AU$4="Actuals",IF(AV$4="Actuals","",AV374),AU376)</f>
        <v>-5318348.99565763</v>
      </c>
      <c r="AV421" s="13" t="n">
        <f aca="false">IF(AV$4="Actuals",IF(AW$4="Actuals","",AW374),AV376)</f>
        <v>-5917865.1158795</v>
      </c>
      <c r="AW421" s="13" t="n">
        <f aca="false">IF(AW$4="Actuals",IF(AX$4="Actuals","",AX374),AW376)</f>
        <v>-6517381.23610138</v>
      </c>
      <c r="AX421" s="13" t="n">
        <f aca="false">IF(AX$4="Actuals",IF(AY$4="Actuals","",AY374),AX376)</f>
        <v>-7116897.35632327</v>
      </c>
      <c r="AY421" s="13" t="n">
        <f aca="false">IF(AY$4="Actuals",IF(AZ$4="Actuals","",AZ374),AY376)</f>
        <v>-7716413.47654515</v>
      </c>
      <c r="AZ421" s="13" t="n">
        <f aca="false">IF(AZ$4="Actuals",IF(BA$4="Actuals","",BA374),AZ376)</f>
        <v>-8315929.59676703</v>
      </c>
      <c r="BA421" s="13" t="n">
        <f aca="false">IF(BA$4="Actuals",IF(BB$4="Actuals","",BB374),BA376)</f>
        <v>-8927336.03939334</v>
      </c>
      <c r="BB421" s="13" t="n">
        <f aca="false">IF(BB$4="Actuals",IF(BC$4="Actuals","",BC374),BB376)</f>
        <v>-9538742.48201966</v>
      </c>
      <c r="BC421" s="13" t="n">
        <f aca="false">IF(BC$4="Actuals",IF(BD$4="Actuals","",BD374),BC376)</f>
        <v>-10150148.924646</v>
      </c>
      <c r="BD421" s="13" t="n">
        <f aca="false">IF(BD$4="Actuals",IF(BE$4="Actuals","",BE374),BD376)</f>
        <v>-10761555.3672723</v>
      </c>
      <c r="BE421" s="13" t="n">
        <f aca="false">IF(BE$4="Actuals",IF(BF$4="Actuals","",BF374),BE376)</f>
        <v>-11372961.8098986</v>
      </c>
      <c r="BF421" s="13" t="n">
        <f aca="false">IF(BF$4="Actuals",IF(BG$4="Actuals","",BG374),BF376)</f>
        <v>-11984368.2525249</v>
      </c>
      <c r="BG421" s="13" t="n">
        <f aca="false">IF(BG$4="Actuals",IF(BH$4="Actuals","",BH374),BG376)</f>
        <v>-12595774.6951512</v>
      </c>
      <c r="BH421" s="13" t="n">
        <f aca="false">IF(BH$4="Actuals",IF(BI$4="Actuals","",BI374),BH376)</f>
        <v>-13207181.1377776</v>
      </c>
      <c r="BI421" s="13" t="n">
        <f aca="false">IF(BI$4="Actuals",IF(BJ$4="Actuals","",BJ374),BI376)</f>
        <v>-13818587.5804039</v>
      </c>
      <c r="BJ421" s="13" t="n">
        <f aca="false">IF(BJ$4="Actuals",IF(BK$4="Actuals","",BK374),BJ376)</f>
        <v>-14429994.0230302</v>
      </c>
      <c r="BK421" s="13" t="n">
        <f aca="false">IF(BK$4="Actuals",IF(BL$4="Actuals","",BL374),BK376)</f>
        <v>-15041400.4656565</v>
      </c>
      <c r="BL421" s="13" t="n">
        <f aca="false">IF(BL$4="Actuals",IF(BM$4="Actuals","",BM374),BL376)</f>
        <v>-15652806.9082828</v>
      </c>
      <c r="BM421" s="13" t="n">
        <f aca="false">IF(BM$4="Actuals",IF(BN$4="Actuals","",BN374),BM376)</f>
        <v>-16276341.4797617</v>
      </c>
      <c r="BN421" s="13" t="n">
        <f aca="false">IF(BN$4="Actuals",IF(BO$4="Actuals","",BO374),BN376)</f>
        <v>-16899876.0512405</v>
      </c>
      <c r="BO421" s="13" t="n">
        <f aca="false">IF(BO$4="Actuals",IF(BP$4="Actuals","",BP374),BO376)</f>
        <v>-17523410.6227194</v>
      </c>
      <c r="BP421" s="13" t="n">
        <f aca="false">IF(BP$4="Actuals",IF(BQ$4="Actuals","",BQ374),BP376)</f>
        <v>-18146945.1941982</v>
      </c>
      <c r="BQ421" s="13" t="n">
        <f aca="false">IF(BQ$4="Actuals",IF(BR$4="Actuals","",BR374),BQ376)</f>
        <v>-18770479.7656771</v>
      </c>
      <c r="BR421" s="13" t="n">
        <f aca="false">IF(BR$4="Actuals",IF(BS$4="Actuals","",BS374),BR376)</f>
        <v>-19340763.9871559</v>
      </c>
      <c r="BS421" s="13" t="n">
        <f aca="false">IF(BS$4="Actuals",IF(BT$4="Actuals","",BT374),BS376)</f>
        <v>-19964298.5586347</v>
      </c>
      <c r="BT421" s="13" t="n">
        <f aca="false">IF(BT$4="Actuals",IF(BU$4="Actuals","",BU374),BT376)</f>
        <v>-20587833.1301136</v>
      </c>
      <c r="BU421" s="13" t="n">
        <f aca="false">IF(BU$4="Actuals",IF(BV$4="Actuals","",BV374),BU376)</f>
        <v>-21143605.7015924</v>
      </c>
      <c r="BV421" s="13" t="n">
        <f aca="false">IF(BV$4="Actuals",IF(BW$4="Actuals","",BW374),BV376)</f>
        <v>-21767140.2730713</v>
      </c>
      <c r="BW421" s="13" t="n">
        <f aca="false">IF(BW$4="Actuals",IF(BX$4="Actuals","",BX374),BW376)</f>
        <v>-22390674.8445501</v>
      </c>
      <c r="BX421" s="13" t="n">
        <f aca="false">IF(BX$4="Actuals",IF(BY$4="Actuals","",BY374),BX376)</f>
        <v>-22946447.416029</v>
      </c>
      <c r="BY421" s="13" t="n">
        <f aca="false">IF(BY$4="Actuals",IF(BZ$4="Actuals","",BZ374),BY376)</f>
        <v>-23582352.6789374</v>
      </c>
      <c r="BZ421" s="13" t="n">
        <f aca="false">IF(BZ$4="Actuals",IF(CA$4="Actuals","",CA374),BZ376)</f>
        <v>-24218257.9418458</v>
      </c>
      <c r="CA421" s="13" t="n">
        <f aca="false">IF(CA$4="Actuals",IF(CB$4="Actuals","",CB374),CA376)</f>
        <v>-24786401.2047542</v>
      </c>
      <c r="CB421" s="13" t="n">
        <f aca="false">IF(CB$4="Actuals",IF(CC$4="Actuals","",CC374),CB376)</f>
        <v>-25422306.4676626</v>
      </c>
      <c r="CC421" s="13" t="n">
        <f aca="false">IF(CC$4="Actuals",IF(CD$4="Actuals","",CD374),CC376)</f>
        <v>-26058211.7305711</v>
      </c>
      <c r="CD421" s="13" t="n">
        <f aca="false">IF(CD$4="Actuals",IF(CE$4="Actuals","",CE374),CD376)</f>
        <v>-26617617.9934795</v>
      </c>
      <c r="CE421" s="13" t="n">
        <f aca="false">IF(CE$4="Actuals",IF(CF$4="Actuals","",CF374),CE376)</f>
        <v>-27253523.2563879</v>
      </c>
      <c r="CF421" s="13" t="n">
        <f aca="false">IF(CF$4="Actuals",IF(CG$4="Actuals","",CG374),CF376)</f>
        <v>-27889428.5192963</v>
      </c>
      <c r="CG421" s="13" t="n">
        <f aca="false">IF(CG$4="Actuals",IF(CH$4="Actuals","",CH374),CG376)</f>
        <v>-28448834.7822048</v>
      </c>
      <c r="CH421" s="13" t="n">
        <f aca="false">IF(CH$4="Actuals",IF(CI$4="Actuals","",CI374),CH376)</f>
        <v>-29084740.0451132</v>
      </c>
      <c r="CI421" s="13" t="n">
        <f aca="false">IF(CI$4="Actuals",IF(CJ$4="Actuals","",CJ374),CI376)</f>
        <v>-29720645.3080216</v>
      </c>
      <c r="CJ421" s="13" t="n">
        <f aca="false">IF(CJ$4="Actuals",IF(CK$4="Actuals","",CK374),CJ376)</f>
        <v>-30280051.57093</v>
      </c>
      <c r="CK421" s="13" t="n">
        <f aca="false">IF(CK$4="Actuals",IF(CL$4="Actuals","",CL374),CK376)</f>
        <v>-30852075.9390966</v>
      </c>
      <c r="CL421" s="13" t="n">
        <f aca="false">IF(CL$4="Actuals",IF(CM$4="Actuals","",CM374),CL376)</f>
        <v>-31424100.3072632</v>
      </c>
      <c r="CM421" s="13" t="n">
        <f aca="false">IF(CM$4="Actuals",IF(CN$4="Actuals","",CN374),CM376)</f>
        <v>-31996124.6754298</v>
      </c>
      <c r="CN421" s="13" t="n">
        <f aca="false">IF(CN$4="Actuals",IF(CO$4="Actuals","",CO374),CN376)</f>
        <v>-32568149.0435964</v>
      </c>
      <c r="CO421" s="13" t="n">
        <f aca="false">IF(CO$4="Actuals",IF(CP$4="Actuals","",CP374),CO376)</f>
        <v>-33140173.411763</v>
      </c>
      <c r="CP421" s="13" t="n">
        <f aca="false">IF(CP$4="Actuals",IF(CQ$4="Actuals","",CQ374),CP376)</f>
        <v>-33712197.7799296</v>
      </c>
      <c r="CQ421" s="13" t="n">
        <f aca="false">IF(CQ$4="Actuals",IF(CR$4="Actuals","",CR374),CQ376)</f>
        <v>-34284222.1480962</v>
      </c>
      <c r="CR421" s="13" t="n">
        <f aca="false">IF(CR$4="Actuals",IF(CS$4="Actuals","",CS374),CR376)</f>
        <v>-34856246.5162627</v>
      </c>
      <c r="CS421" s="13" t="n">
        <f aca="false">IF(CS$4="Actuals",IF(CT$4="Actuals","",CT374),CS376)</f>
        <v>-35428270.8844293</v>
      </c>
      <c r="CT421" s="13" t="n">
        <f aca="false">IF(CT$4="Actuals",IF(CU$4="Actuals","",CU374),CT376)</f>
        <v>-35939493.1243032</v>
      </c>
      <c r="CU421" s="13" t="n">
        <f aca="false">IF(CU$4="Actuals",IF(CV$4="Actuals","",CV374),CU376)</f>
        <v>-36450715.364177</v>
      </c>
      <c r="CV421" s="13" t="n">
        <f aca="false">IF(CV$4="Actuals",IF(CW$4="Actuals","",CW374),CV376)</f>
        <v>-36961937.6040508</v>
      </c>
      <c r="CW421" s="13" t="n">
        <f aca="false">IF(CW$4="Actuals",IF(CX$4="Actuals","",CX374),CW376)</f>
        <v>-37484814.2687221</v>
      </c>
      <c r="CX421" s="13" t="n">
        <f aca="false">IF(CX$4="Actuals",IF(CY$4="Actuals","",CY374),CX376)</f>
        <v>-38007690.9333933</v>
      </c>
      <c r="CY421" s="13" t="n">
        <f aca="false">IF(CY$4="Actuals",IF(CZ$4="Actuals","",CZ374),CY376)</f>
        <v>-38530567.5980646</v>
      </c>
      <c r="CZ421" s="13" t="n">
        <f aca="false">IF(CZ$4="Actuals",IF(DA$4="Actuals","",DA374),CZ376)</f>
        <v>-39053444.2627359</v>
      </c>
      <c r="DA421" s="13" t="n">
        <f aca="false">IF(DA$4="Actuals",IF(DB$4="Actuals","",DB374),DA376)</f>
        <v>-39576320.9274072</v>
      </c>
      <c r="DB421" s="13" t="n">
        <f aca="false">IF(DB$4="Actuals",IF(DC$4="Actuals","",DC374),DB376)</f>
        <v>-40099197.5920785</v>
      </c>
      <c r="DC421" s="13" t="n">
        <f aca="false">IF(DC$4="Actuals",IF(DD$4="Actuals","",DD374),DC376)</f>
        <v>-40622074.2567498</v>
      </c>
      <c r="DD421" s="13" t="n">
        <f aca="false">IF(DD$4="Actuals",IF(DE$4="Actuals","",DE374),DD376)</f>
        <v>-41144950.9214211</v>
      </c>
      <c r="DE421" s="13" t="n">
        <f aca="false">IF(DE$4="Actuals",IF(DF$4="Actuals","",DF374),DE376)</f>
        <v>-41667827.5860924</v>
      </c>
    </row>
    <row r="422" customFormat="false" ht="13.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3.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3.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3.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3.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3.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3.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3.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3.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3.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3.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3.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3.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3.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3.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3.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3.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3.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3.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3.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3.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3.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3.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3.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3.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3.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3.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3.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3.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3.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3.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3.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5460560.84803558</v>
      </c>
      <c r="D4" s="13" t="n">
        <f aca="false">SUM(Model!Z10:AK10)</f>
        <v>3402509.56837855</v>
      </c>
      <c r="E4" s="13" t="n">
        <f aca="false">SUM(Model!AL10:AW10)</f>
        <v>185638.94</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4159633.95932006</v>
      </c>
      <c r="D5" s="13" t="n">
        <f aca="false">SUM(Model!Z11:AK11)</f>
        <v>2551875.18265847</v>
      </c>
      <c r="E5" s="13" t="n">
        <f aca="false">SUM(Model!AL11:AW11)</f>
        <v>139229.21</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78066652.9321086</v>
      </c>
      <c r="D6" s="13" t="n">
        <f aca="false">SUM(Model!Z57:AK57)</f>
        <v>37129519.4378711</v>
      </c>
      <c r="E6" s="13" t="n">
        <f aca="false">SUM(Model!AL57:AW57)</f>
        <v>2304378.2</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87686847.7394643</v>
      </c>
      <c r="D7" s="30" t="n">
        <f aca="false">SUM(Model!Z58:AK58)</f>
        <v>43083904.1889082</v>
      </c>
      <c r="E7" s="30" t="n">
        <f aca="false">SUM(Model!AL58:AW58)</f>
        <v>2629246.35</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-78383668.7921086</v>
      </c>
      <c r="D8" s="13" t="n">
        <f aca="false">SUM(Model!Z104:AK104)</f>
        <v>-37129519.4378711</v>
      </c>
      <c r="E8" s="13" t="n">
        <f aca="false">SUM(Model!AL104:AW104)</f>
        <v>-2304378.2</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0</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0</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9350569.83735563</v>
      </c>
      <c r="D13" s="32" t="n">
        <f aca="false">SUM(Model!Z199:AK199)</f>
        <v>5954384.75103702</v>
      </c>
      <c r="E13" s="32" t="n">
        <f aca="false">SUM(Model!AL199:AW199)</f>
        <v>324868.15</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0.10663594459614</v>
      </c>
      <c r="D14" s="78" t="n">
        <f aca="false">IFERROR(D13/D7,0)</f>
        <v>0.138204391248506</v>
      </c>
      <c r="E14" s="78" t="n">
        <f aca="false">IFERROR(E13/E7,0)</f>
        <v>0.123559418462253</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-5050601.43076667</v>
      </c>
      <c r="D17" s="13" t="n">
        <f aca="false">SUM(Model!Z203:AK204)+SUM(Model!Z206:AK210)</f>
        <v>-4070760.939382</v>
      </c>
      <c r="E17" s="13" t="n">
        <f aca="false">SUM(Model!AL203:AW204)+SUM(Model!AL206:AW210)</f>
        <v>-4035532.14566964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-915748.4492</v>
      </c>
      <c r="D18" s="13" t="n">
        <f aca="false">SUM(Model!Z211:AK233)+SUM(Model!Z235:AK235)</f>
        <v>-838292.264337846</v>
      </c>
      <c r="E18" s="13" t="n">
        <f aca="false">SUM(Model!AL211:AW233)+SUM(Model!AL235:AW235)</f>
        <v>-787581.18654768</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-37973.771875</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-6004323.65184167</v>
      </c>
      <c r="D21" s="30" t="n">
        <f aca="false">SUM(Model!Z236:AK236)</f>
        <v>-4909053.20371985</v>
      </c>
      <c r="E21" s="30" t="n">
        <f aca="false">SUM(Model!AL236:AW236)</f>
        <v>-4823113.33221732</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3346246.18551397</v>
      </c>
      <c r="D22" s="30" t="n">
        <f aca="false">SUM(Model!Z237:AK237)</f>
        <v>1045331.54731717</v>
      </c>
      <c r="E22" s="30" t="n">
        <f aca="false">SUM(Model!AL237:AW237)</f>
        <v>-4498245.18221732</v>
      </c>
      <c r="F22" s="30" t="n">
        <f aca="false">SUM(Model!AX237:BI237)</f>
        <v>-4919575.59886167</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0.0381613237535503</v>
      </c>
      <c r="D23" s="78" t="n">
        <f aca="false">IFERROR(D22/D7,0)</f>
        <v>0.0242626931564454</v>
      </c>
      <c r="E23" s="78" t="n">
        <f aca="false">IFERROR(E22/E7,0)</f>
        <v>-1.71084964412609</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481498.936090226</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281718</v>
      </c>
      <c r="G25" s="80" t="n">
        <f aca="false">Model!BJ261+Model!BK261+Model!BL261+Model!BM261+Model!BN261+Model!BO261+Model!BP261+Model!BQ261+Model!BR261+Model!BS261+Model!BT261+Model!BU261</f>
        <v>253877</v>
      </c>
      <c r="H25" s="80" t="n">
        <f aca="false">Model!BV261+Model!BW261+Model!BX261+Model!BY261+Model!BZ261+Model!CA261+Model!CB261+Model!CC261+Model!CD261+Model!CE261+Model!CF261+Model!CG261</f>
        <v>288522</v>
      </c>
      <c r="I25" s="80" t="n">
        <f aca="false">Model!CH261+Model!CI261+Model!CJ261+Model!CK261+Model!CL261+Model!CM261+Model!CN261+Model!CO261+Model!CP261+Model!CQ261+Model!CR261+Model!CS261</f>
        <v>764990</v>
      </c>
      <c r="J25" s="80" t="n">
        <f aca="false">Model!CT261+Model!CU261+Model!CV261+Model!CW261+Model!CX261+Model!CY261+Model!CZ261+Model!DA261+Model!DB261+Model!DC261+Model!DD261+Model!DE261</f>
        <v>917988</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-2663348.74544083</v>
      </c>
      <c r="G26" s="13" t="n">
        <f aca="false">Model!BJ292+Model!BK292+Model!BL292+Model!BM292+Model!BN292+Model!BO292+Model!BP292+Model!BQ292+Model!BR292+Model!BS292+Model!BT292+Model!BU292</f>
        <v>-2560928.01034965</v>
      </c>
      <c r="H26" s="13" t="n">
        <f aca="false">Model!BV292+Model!BW292+Model!BX292+Model!BY292+Model!BZ292+Model!CA292+Model!CB292+Model!CC292+Model!CD292+Model!CE292+Model!CF292+Model!CG292</f>
        <v>-2475424.62755664</v>
      </c>
      <c r="I26" s="13" t="n">
        <f aca="false">Model!CH292+Model!CI292+Model!CJ292+Model!CK292+Model!CL292+Model!CM292+Model!CN292+Model!CO292+Model!CP292+Model!CQ292+Model!CR292+Model!CS292</f>
        <v>-2523733.12010777</v>
      </c>
      <c r="J26" s="13" t="n">
        <f aca="false">Model!CT292+Model!CU292+Model!CV292+Model!CW292+Model!CX292+Model!CY292+Model!CZ292+Model!DA292+Model!DB292+Model!DC292+Model!DD292+Model!DE292</f>
        <v>-2463120.20397135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-1766225.56790977</v>
      </c>
      <c r="D27" s="37" t="n">
        <f aca="false">Model!Z293+Model!AA293+Model!AB293+Model!AC293+Model!AD293+Model!AE293+Model!AF293+Model!AG293+Model!AH293+Model!AI293+Model!AJ293+Model!AK293</f>
        <v>-2043860.57302737</v>
      </c>
      <c r="E27" s="37" t="n">
        <f aca="false">Model!AL293+Model!AM293+Model!AN293+Model!AO293+Model!AP293+Model!AQ293+Model!AR293+Model!AS293+Model!AT293+Model!AU293+Model!AV293+Model!AW293</f>
        <v>-2336108.5739616</v>
      </c>
      <c r="F27" s="37" t="n">
        <f aca="false">Model!AX293+Model!AY293+Model!AZ293+Model!BA293+Model!BB293+Model!BC293+Model!BD293+Model!BE293+Model!BF293+Model!BG293+Model!BH293+Model!BI293</f>
        <v>-2381630.74544083</v>
      </c>
      <c r="G27" s="37" t="n">
        <f aca="false">Model!BJ293+Model!BK293+Model!BL293+Model!BM293+Model!BN293+Model!BO293+Model!BP293+Model!BQ293+Model!BR293+Model!BS293+Model!BT293+Model!BU293</f>
        <v>-2307051.01034965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-1758743.12010777</v>
      </c>
      <c r="J27" s="37" t="n">
        <f aca="false">Model!CT293+Model!CU293+Model!CV293+Model!CW293+Model!CX293+Model!CY293+Model!CZ293+Model!DA293+Model!DB293+Model!DC293+Model!DD293+Model!DE293</f>
        <v>-1545132.20397135</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1580020.61760419</v>
      </c>
      <c r="D29" s="37" t="n">
        <f aca="false">Model!Z302+Model!AA302+Model!AB302+Model!AC302+Model!AD302+Model!AE302+Model!AF302+Model!AG302+Model!AH302+Model!AI302+Model!AJ302+Model!AK302</f>
        <v>-998529.025710197</v>
      </c>
      <c r="E29" s="37" t="n">
        <f aca="false">Model!AL302+Model!AM302+Model!AN302+Model!AO302+Model!AP302+Model!AQ302+Model!AR302+Model!AS302+Model!AT302+Model!AU302+Model!AV302+Model!AW302</f>
        <v>-6834353.75617892</v>
      </c>
      <c r="F29" s="37" t="n">
        <f aca="false">Model!AX302+Model!AY302+Model!AZ302+Model!BA302+Model!BB302+Model!BC302+Model!BD302+Model!BE302+Model!BF302+Model!BG302+Model!BH302+Model!BI302</f>
        <v>-7301206.3443025</v>
      </c>
      <c r="G29" s="37" t="n">
        <f aca="false">Model!BJ302+Model!BK302+Model!BL302+Model!BM302+Model!BN302+Model!BO302+Model!BP302+Model!BQ302+Model!BR302+Model!BS302+Model!BT302+Model!BU302</f>
        <v>-7325018.12118855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-6979436.10222457</v>
      </c>
      <c r="J29" s="37" t="n">
        <f aca="false">Model!CT302+Model!CU302+Model!CV302+Model!CW302+Model!CX302+Model!CY302+Model!CZ302+Model!DA302+Model!DB302+Model!DC302+Model!DD302+Model!DE302</f>
        <v>-6239556.70166303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-0</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-0</v>
      </c>
      <c r="G35" s="13" t="n">
        <f aca="false">Model!BJ290+Model!BK290+Model!BL290+Model!BM290+Model!BN290+Model!BO290+Model!BP290+Model!BQ290+Model!BR290+Model!BS290+Model!BT290+Model!BU290</f>
        <v>-0</v>
      </c>
      <c r="H35" s="13" t="n">
        <f aca="false">Model!BV290+Model!BW290+Model!BX290+Model!BY290+Model!BZ290+Model!CA290+Model!CB290+Model!CC290+Model!CD290+Model!CE290+Model!CF290+Model!CG290</f>
        <v>-0</v>
      </c>
      <c r="I35" s="13" t="n">
        <f aca="false">Model!CH290+Model!CI290+Model!CJ290+Model!CK290+Model!CL290+Model!CM290+Model!CN290+Model!CO290+Model!CP290+Model!CQ290+Model!CR290+Model!CS290</f>
        <v>-0</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-0</v>
      </c>
      <c r="I36" s="13" t="n">
        <f aca="false">Model!CH291+Model!CI291+Model!CJ291+Model!CK291+Model!CL291+Model!CM291+Model!CN291+Model!CO291+Model!CP291+Model!CQ291+Model!CR291+Model!CS291</f>
        <v>-0</v>
      </c>
      <c r="J36" s="13" t="n">
        <f aca="false">Model!CT291+Model!CU291+Model!CV291+Model!CW291+Model!CX291+Model!CY291+Model!CZ291+Model!DA291+Model!DB291+Model!DC291+Model!DD291+Model!DE291</f>
        <v>-0</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750000</v>
      </c>
      <c r="F42" s="13" t="n">
        <f aca="false">Model!BI317</f>
        <v>750000</v>
      </c>
      <c r="G42" s="13" t="n">
        <f aca="false">Model!BU317</f>
        <v>750000</v>
      </c>
      <c r="H42" s="13" t="n">
        <f aca="false">Model!CG317</f>
        <v>750000</v>
      </c>
      <c r="I42" s="13" t="n">
        <f aca="false">Model!CS317</f>
        <v>750000</v>
      </c>
      <c r="J42" s="13" t="n">
        <f aca="false">Model!DE317</f>
        <v>750000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0</v>
      </c>
      <c r="C44" s="13" t="n">
        <f aca="false">Model!Y324+Model!Y329+Model!Y334+Model!Y339</f>
        <v>0</v>
      </c>
      <c r="D44" s="13" t="n">
        <f aca="false">Model!AK324+Model!AK329+Model!AK334+Model!AK339</f>
        <v>0</v>
      </c>
      <c r="E44" s="13" t="n">
        <f aca="false">Model!AW324+Model!AW329+Model!AW334+Model!AW339</f>
        <v>0</v>
      </c>
      <c r="F44" s="13" t="n">
        <f aca="false">Model!BI324+Model!BI329+Model!BI334+Model!BI339</f>
        <v>0</v>
      </c>
      <c r="G44" s="13" t="n">
        <f aca="false">Model!BU324+Model!BU329+Model!BU334+Model!BU339</f>
        <v>0</v>
      </c>
      <c r="H44" s="13" t="n">
        <f aca="false">Model!CG324+Model!CG329+Model!CG334+Model!CG339</f>
        <v>0</v>
      </c>
      <c r="I44" s="13" t="n">
        <f aca="false">Model!CS324+Model!CS329+Model!CS334+Model!CS339</f>
        <v>0</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36328367.21002</v>
      </c>
      <c r="D46" s="13" t="n">
        <f aca="false">Model!AK350</f>
        <v>2700888.54</v>
      </c>
      <c r="E46" s="13" t="n">
        <f aca="false">Model!AW350</f>
        <v>0</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4155783.84125638</v>
      </c>
      <c r="D48" s="83" t="n">
        <f aca="false">Model!AK363</f>
        <v>5948092.3261266</v>
      </c>
      <c r="E48" s="83" t="n">
        <f aca="false">Model!AW363</f>
        <v>1813194.44240929</v>
      </c>
      <c r="F48" s="83" t="n">
        <f aca="false">Model!BI363</f>
        <v>-3106381.15645238</v>
      </c>
      <c r="G48" s="83" t="n">
        <f aca="false">Model!BU363</f>
        <v>-8124348.26729128</v>
      </c>
      <c r="H48" s="83" t="n">
        <f aca="false">Model!CG363</f>
        <v>-13242674.720347</v>
      </c>
      <c r="I48" s="83" t="n">
        <f aca="false">Model!CS363</f>
        <v>-18463367.7024637</v>
      </c>
      <c r="J48" s="83" t="n">
        <f aca="false">Model!DE363</f>
        <v>-23157792.2001554</v>
      </c>
    </row>
    <row r="49" customFormat="false" ht="15" hidden="false" customHeight="true" outlineLevel="0" collapsed="false">
      <c r="A49" s="82" t="s">
        <v>195</v>
      </c>
      <c r="B49" s="83" t="n">
        <f aca="false">Model!M371</f>
        <v>61600.4666666667</v>
      </c>
      <c r="C49" s="83" t="n">
        <f aca="false">Model!Y371</f>
        <v>-3048625.10124311</v>
      </c>
      <c r="D49" s="83" t="n">
        <f aca="false">Model!AK371</f>
        <v>-5994467.10454907</v>
      </c>
      <c r="E49" s="83" t="n">
        <f aca="false">Model!AW371</f>
        <v>-8330575.67851067</v>
      </c>
      <c r="F49" s="83" t="n">
        <f aca="false">Model!BI371</f>
        <v>-10712206.4239515</v>
      </c>
      <c r="G49" s="83" t="n">
        <f aca="false">Model!BU371</f>
        <v>-13019257.4343012</v>
      </c>
      <c r="H49" s="83" t="n">
        <f aca="false">Model!CG371</f>
        <v>-15206160.0618578</v>
      </c>
      <c r="I49" s="83" t="n">
        <f aca="false">Model!CS371</f>
        <v>-16964903.1819656</v>
      </c>
      <c r="J49" s="83" t="n">
        <f aca="false">Model!DE371</f>
        <v>-18510035.385937</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-794750.370654909</v>
      </c>
      <c r="E50" s="83" t="n">
        <f aca="false">Model!AL375+Model!AM375+Model!AN375+Model!AO375+Model!AP375+Model!AQ375+Model!AR375+Model!AS375+Model!AT375+Model!AU375+Model!AV375+Model!AW375</f>
        <v>0</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1107158.74001327</v>
      </c>
      <c r="D51" s="84" t="n">
        <f aca="false">Model!AK376</f>
        <v>-46374.7784224683</v>
      </c>
      <c r="E51" s="84" t="n">
        <f aca="false">Model!AW376</f>
        <v>-6517381.23610138</v>
      </c>
      <c r="F51" s="84" t="n">
        <f aca="false">Model!BI376</f>
        <v>-13818587.5804039</v>
      </c>
      <c r="G51" s="84" t="n">
        <f aca="false">Model!BU376</f>
        <v>-21143605.7015924</v>
      </c>
      <c r="H51" s="84" t="n">
        <f aca="false">Model!CG376</f>
        <v>-28448834.7822048</v>
      </c>
      <c r="I51" s="84" t="n">
        <f aca="false">Model!CS376</f>
        <v>-35428270.8844293</v>
      </c>
      <c r="J51" s="84" t="n">
        <f aca="false">Model!DE376</f>
        <v>-41667827.5860924</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1348693.25217958</v>
      </c>
      <c r="H4" s="13" t="n">
        <f aca="false">SUM(Model!T10:V10)</f>
        <v>1422707.34217958</v>
      </c>
      <c r="I4" s="13" t="n">
        <f aca="false">SUM(Model!W10:Y10)</f>
        <v>1250660.86217958</v>
      </c>
      <c r="J4" s="13" t="n">
        <f aca="false">SUM(Model!Z10:AB10)</f>
        <v>1309105.53334757</v>
      </c>
      <c r="K4" s="13" t="n">
        <f aca="false">SUM(Model!AC10:AE10)</f>
        <v>741808.079977719</v>
      </c>
      <c r="L4" s="13" t="n">
        <f aca="false">SUM(Model!AF10:AH10)</f>
        <v>854478.905235656</v>
      </c>
      <c r="M4" s="13" t="n">
        <f aca="false">SUM(Model!AI10:AK10)</f>
        <v>497117.049817604</v>
      </c>
      <c r="N4" s="13" t="n">
        <f aca="false">SUM(Model!AL10:AN10)</f>
        <v>185638.94</v>
      </c>
      <c r="O4" s="13" t="n">
        <f aca="false">SUM(Model!AO10:AQ10)</f>
        <v>0</v>
      </c>
      <c r="P4" s="13" t="n">
        <f aca="false">SUM(Model!AR10:AT10)</f>
        <v>0</v>
      </c>
      <c r="Q4" s="13" t="n">
        <f aca="false">SUM(Model!AU10:AW10)</f>
        <v>0</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1028453.36127956</v>
      </c>
      <c r="H5" s="13" t="n">
        <f aca="false">SUM(Model!T11:V11)</f>
        <v>1075515.01127956</v>
      </c>
      <c r="I5" s="13" t="n">
        <f aca="false">SUM(Model!W11:Y11)</f>
        <v>937992.811279565</v>
      </c>
      <c r="J5" s="13" t="n">
        <f aca="false">SUM(Model!Z11:AB11)</f>
        <v>981826.164733355</v>
      </c>
      <c r="K5" s="13" t="n">
        <f aca="false">SUM(Model!AC11:AE11)</f>
        <v>556354.249532675</v>
      </c>
      <c r="L5" s="13" t="n">
        <f aca="false">SUM(Model!AF11:AH11)</f>
        <v>640857.650160025</v>
      </c>
      <c r="M5" s="13" t="n">
        <f aca="false">SUM(Model!AI11:AK11)</f>
        <v>372837.118232417</v>
      </c>
      <c r="N5" s="13" t="n">
        <f aca="false">SUM(Model!AL11:AN11)</f>
        <v>139229.21</v>
      </c>
      <c r="O5" s="13" t="n">
        <f aca="false">SUM(Model!AO11:AQ11)</f>
        <v>0</v>
      </c>
      <c r="P5" s="13" t="n">
        <f aca="false">SUM(Model!AR11:AT11)</f>
        <v>0</v>
      </c>
      <c r="Q5" s="13" t="n">
        <f aca="false">SUM(Model!AU11:AW11)</f>
        <v>0</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19382591.0899044</v>
      </c>
      <c r="H6" s="13" t="n">
        <f aca="false">SUM(Model!T57:V57)</f>
        <v>21998721.5533327</v>
      </c>
      <c r="I6" s="13" t="n">
        <f aca="false">SUM(Model!W57:Y57)</f>
        <v>18984987.9754216</v>
      </c>
      <c r="J6" s="13" t="n">
        <f aca="false">SUM(Model!Z57:AB57)</f>
        <v>15944545.7530962</v>
      </c>
      <c r="K6" s="13" t="n">
        <f aca="false">SUM(Model!AC57:AE57)</f>
        <v>8945237.76394386</v>
      </c>
      <c r="L6" s="13" t="n">
        <f aca="false">SUM(Model!AF57:AH57)</f>
        <v>7791706.47251607</v>
      </c>
      <c r="M6" s="13" t="n">
        <f aca="false">SUM(Model!AI57:AK57)</f>
        <v>4448029.44831498</v>
      </c>
      <c r="N6" s="13" t="n">
        <f aca="false">SUM(Model!AL57:AN57)</f>
        <v>2304378.2</v>
      </c>
      <c r="O6" s="13" t="n">
        <f aca="false">SUM(Model!AO57:AQ57)</f>
        <v>0</v>
      </c>
      <c r="P6" s="13" t="n">
        <f aca="false">SUM(Model!AR57:AT57)</f>
        <v>0</v>
      </c>
      <c r="Q6" s="13" t="n">
        <f aca="false">SUM(Model!AU57:AW57)</f>
        <v>0</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21759737.7033635</v>
      </c>
      <c r="H7" s="88" t="n">
        <f aca="false">SUM(Model!T58:V58)</f>
        <v>24496943.9067918</v>
      </c>
      <c r="I7" s="88" t="n">
        <f aca="false">SUM(Model!W58:Y58)</f>
        <v>21173641.6488807</v>
      </c>
      <c r="J7" s="88" t="n">
        <f aca="false">SUM(Model!Z58:AB58)</f>
        <v>18235477.4511772</v>
      </c>
      <c r="K7" s="88" t="n">
        <f aca="false">SUM(Model!AC58:AE58)</f>
        <v>10243400.0934543</v>
      </c>
      <c r="L7" s="88" t="n">
        <f aca="false">SUM(Model!AF58:AH58)</f>
        <v>9287043.02791175</v>
      </c>
      <c r="M7" s="88" t="n">
        <f aca="false">SUM(Model!AI58:AK58)</f>
        <v>5317983.616365</v>
      </c>
      <c r="N7" s="88" t="n">
        <f aca="false">SUM(Model!AL58:AN58)</f>
        <v>2629246.35</v>
      </c>
      <c r="O7" s="88" t="n">
        <f aca="false">SUM(Model!AO58:AQ58)</f>
        <v>0</v>
      </c>
      <c r="P7" s="88" t="n">
        <f aca="false">SUM(Model!AR58:AT58)</f>
        <v>0</v>
      </c>
      <c r="Q7" s="88" t="n">
        <f aca="false">SUM(Model!AU58:AW58)</f>
        <v>0</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-19551783.5699044</v>
      </c>
      <c r="H8" s="13" t="n">
        <f aca="false">SUM(Model!T104:V104)</f>
        <v>-22232872.1033327</v>
      </c>
      <c r="I8" s="13" t="n">
        <f aca="false">SUM(Model!W104:Y104)</f>
        <v>-18979202.6554216</v>
      </c>
      <c r="J8" s="13" t="n">
        <f aca="false">SUM(Model!Z104:AB104)</f>
        <v>-15944545.7530962</v>
      </c>
      <c r="K8" s="13" t="n">
        <f aca="false">SUM(Model!AC104:AE104)</f>
        <v>-8945237.76394386</v>
      </c>
      <c r="L8" s="13" t="n">
        <f aca="false">SUM(Model!AF104:AH104)</f>
        <v>-7791706.47251607</v>
      </c>
      <c r="M8" s="13" t="n">
        <f aca="false">SUM(Model!AI104:AK104)</f>
        <v>-4448029.44831498</v>
      </c>
      <c r="N8" s="13" t="n">
        <f aca="false">SUM(Model!AL104:AN104)</f>
        <v>-2304378.2</v>
      </c>
      <c r="O8" s="13" t="n">
        <f aca="false">SUM(Model!AO104:AQ104)</f>
        <v>0</v>
      </c>
      <c r="P8" s="13" t="n">
        <f aca="false">SUM(Model!AR104:AT104)</f>
        <v>0</v>
      </c>
      <c r="Q8" s="13" t="n">
        <f aca="false">SUM(Model!AU104:AW104)</f>
        <v>0</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0</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0</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2605988.5069782</v>
      </c>
      <c r="G13" s="32" t="n">
        <f aca="false">SUM(Model!Q199:S199)</f>
        <v>2271114.23345915</v>
      </c>
      <c r="H13" s="32" t="n">
        <f aca="false">SUM(Model!T199:V199)</f>
        <v>2284813.42345914</v>
      </c>
      <c r="I13" s="32" t="n">
        <f aca="false">SUM(Model!W199:Y199)</f>
        <v>2188653.67345915</v>
      </c>
      <c r="J13" s="32" t="n">
        <f aca="false">SUM(Model!Z199:AB199)</f>
        <v>2290931.69808092</v>
      </c>
      <c r="K13" s="32" t="n">
        <f aca="false">SUM(Model!AC199:AE199)</f>
        <v>1298162.32951039</v>
      </c>
      <c r="L13" s="32" t="n">
        <f aca="false">SUM(Model!AF199:AH199)</f>
        <v>1495336.55539568</v>
      </c>
      <c r="M13" s="32" t="n">
        <f aca="false">SUM(Model!AI199:AK199)</f>
        <v>869954.168050021</v>
      </c>
      <c r="N13" s="32" t="n">
        <f aca="false">SUM(Model!AL199:AN199)</f>
        <v>324868.15</v>
      </c>
      <c r="O13" s="32" t="n">
        <f aca="false">SUM(Model!AO199:AQ199)</f>
        <v>0</v>
      </c>
      <c r="P13" s="32" t="n">
        <f aca="false">SUM(Model!AR199:AT199)</f>
        <v>0</v>
      </c>
      <c r="Q13" s="32" t="n">
        <f aca="false">SUM(Model!AU199:AW199)</f>
        <v>0</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0.128649340092674</v>
      </c>
      <c r="G14" s="89" t="n">
        <f aca="false">IFERROR(G13/G7,0)</f>
        <v>0.104372316634501</v>
      </c>
      <c r="H14" s="89" t="n">
        <f aca="false">IFERROR(H13/H7,0)</f>
        <v>0.0932693250289754</v>
      </c>
      <c r="I14" s="89" t="n">
        <f aca="false">IFERROR(I13/I7,0)</f>
        <v>0.103366898795836</v>
      </c>
      <c r="J14" s="89" t="n">
        <f aca="false">IFERROR(J13/J7,0)</f>
        <v>0.125630475221423</v>
      </c>
      <c r="K14" s="89" t="n">
        <f aca="false">IFERROR(K13/K7,0)</f>
        <v>0.126731584988069</v>
      </c>
      <c r="L14" s="89" t="n">
        <f aca="false">IFERROR(L13/L7,0)</f>
        <v>0.161013204192284</v>
      </c>
      <c r="M14" s="89" t="n">
        <f aca="false">IFERROR(M13/M7,0)</f>
        <v>0.163587222302249</v>
      </c>
      <c r="N14" s="89" t="n">
        <f aca="false">IFERROR(N13/N7,0)</f>
        <v>0.123559418462253</v>
      </c>
      <c r="O14" s="89" t="n">
        <f aca="false">IFERROR(O13/O7,0)</f>
        <v>0</v>
      </c>
      <c r="P14" s="89" t="n">
        <f aca="false">IFERROR(P13/P7,0)</f>
        <v>0</v>
      </c>
      <c r="Q14" s="89" t="n">
        <f aca="false">IFERROR(Q13/Q7,0)</f>
        <v>0</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-1301495.7597</v>
      </c>
      <c r="H17" s="13" t="n">
        <f aca="false">SUM(Model!T203:V204)+SUM(Model!T206:V210)</f>
        <v>-1283977.2597</v>
      </c>
      <c r="I17" s="13" t="n">
        <f aca="false">SUM(Model!W203:Y204)+SUM(Model!W206:Y210)</f>
        <v>-1241154.2597</v>
      </c>
      <c r="J17" s="13" t="n">
        <f aca="false">SUM(Model!Z203:AB204)+SUM(Model!Z206:AB210)</f>
        <v>-1088840.6347</v>
      </c>
      <c r="K17" s="13" t="n">
        <f aca="false">SUM(Model!AC203:AE204)+SUM(Model!AC206:AE210)</f>
        <v>-993973.434894</v>
      </c>
      <c r="L17" s="13" t="n">
        <f aca="false">SUM(Model!AF203:AH204)+SUM(Model!AF206:AH210)</f>
        <v>-993973.434894</v>
      </c>
      <c r="M17" s="13" t="n">
        <f aca="false">SUM(Model!AI203:AK204)+SUM(Model!AI206:AK210)</f>
        <v>-993973.434894</v>
      </c>
      <c r="N17" s="13" t="n">
        <f aca="false">SUM(Model!AL203:AN204)+SUM(Model!AL206:AN210)</f>
        <v>-993973.434894</v>
      </c>
      <c r="O17" s="13" t="n">
        <f aca="false">SUM(Model!AO203:AQ204)+SUM(Model!AO206:AQ210)</f>
        <v>-1013852.90359188</v>
      </c>
      <c r="P17" s="13" t="n">
        <f aca="false">SUM(Model!AR203:AT204)+SUM(Model!AR206:AT210)</f>
        <v>-1013852.90359188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-190181.8764</v>
      </c>
      <c r="H18" s="13" t="n">
        <f aca="false">SUM(Model!T211:V233)+SUM(Model!T235:V235)</f>
        <v>-204028.030246154</v>
      </c>
      <c r="I18" s="13" t="n">
        <f aca="false">SUM(Model!W211:Y233)+SUM(Model!W235:Y235)</f>
        <v>-196335.722553846</v>
      </c>
      <c r="J18" s="13" t="n">
        <f aca="false">SUM(Model!Z211:AB233)+SUM(Model!Z235:AB235)</f>
        <v>-234412.645630769</v>
      </c>
      <c r="K18" s="13" t="n">
        <f aca="false">SUM(Model!AC211:AE233)+SUM(Model!AC235:AE235)</f>
        <v>-215908.590851077</v>
      </c>
      <c r="L18" s="13" t="n">
        <f aca="false">SUM(Model!AF211:AH233)+SUM(Model!AF235:AH235)</f>
        <v>-193985.513928</v>
      </c>
      <c r="M18" s="13" t="n">
        <f aca="false">SUM(Model!AI211:AK233)+SUM(Model!AI235:AK235)</f>
        <v>-193985.513928</v>
      </c>
      <c r="N18" s="13" t="n">
        <f aca="false">SUM(Model!AL211:AN233)+SUM(Model!AL235:AN235)</f>
        <v>-193985.513928</v>
      </c>
      <c r="O18" s="13" t="n">
        <f aca="false">SUM(Model!AO211:AQ233)+SUM(Model!AO235:AQ235)</f>
        <v>-197865.22420656</v>
      </c>
      <c r="P18" s="13" t="n">
        <f aca="false">SUM(Model!AR211:AT233)+SUM(Model!AR235:AT235)</f>
        <v>-197865.22420656</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-1491677.6361</v>
      </c>
      <c r="H21" s="88" t="n">
        <f aca="false">SUM(Model!T236:V236)</f>
        <v>-1488005.28994615</v>
      </c>
      <c r="I21" s="88" t="n">
        <f aca="false">SUM(Model!W236:Y236)</f>
        <v>-1437489.98225385</v>
      </c>
      <c r="J21" s="88" t="n">
        <f aca="false">SUM(Model!Z236:AB236)</f>
        <v>-1323253.28033077</v>
      </c>
      <c r="K21" s="88" t="n">
        <f aca="false">SUM(Model!AC236:AE236)</f>
        <v>-1209882.02574508</v>
      </c>
      <c r="L21" s="88" t="n">
        <f aca="false">SUM(Model!AF236:AH236)</f>
        <v>-1187958.948822</v>
      </c>
      <c r="M21" s="88" t="n">
        <f aca="false">SUM(Model!AI236:AK236)</f>
        <v>-1187958.948822</v>
      </c>
      <c r="N21" s="88" t="n">
        <f aca="false">SUM(Model!AL236:AN236)</f>
        <v>-1187958.948822</v>
      </c>
      <c r="O21" s="88" t="n">
        <f aca="false">SUM(Model!AO236:AQ236)</f>
        <v>-1211718.12779844</v>
      </c>
      <c r="P21" s="88" t="n">
        <f aca="false">SUM(Model!AR236:AT236)</f>
        <v>-1211718.12779844</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1018837.76343653</v>
      </c>
      <c r="G22" s="91" t="n">
        <f aca="false">SUM(Model!Q237:S237)</f>
        <v>779436.597359146</v>
      </c>
      <c r="H22" s="91" t="n">
        <f aca="false">SUM(Model!T237:V237)</f>
        <v>796808.133512989</v>
      </c>
      <c r="I22" s="91" t="n">
        <f aca="false">SUM(Model!W237:Y237)</f>
        <v>751163.6912053</v>
      </c>
      <c r="J22" s="91" t="n">
        <f aca="false">SUM(Model!Z237:AB237)</f>
        <v>967678.417750154</v>
      </c>
      <c r="K22" s="91" t="n">
        <f aca="false">SUM(Model!AC237:AE237)</f>
        <v>88280.3037653165</v>
      </c>
      <c r="L22" s="91" t="n">
        <f aca="false">SUM(Model!AF237:AH237)</f>
        <v>307377.606573681</v>
      </c>
      <c r="M22" s="91" t="n">
        <f aca="false">SUM(Model!AI237:AK237)</f>
        <v>-318004.780771979</v>
      </c>
      <c r="N22" s="91" t="n">
        <f aca="false">SUM(Model!AL237:AN237)</f>
        <v>-863090.798822</v>
      </c>
      <c r="O22" s="91" t="n">
        <f aca="false">SUM(Model!AO237:AQ237)</f>
        <v>-1211718.12779844</v>
      </c>
      <c r="P22" s="91" t="n">
        <f aca="false">SUM(Model!AR237:AT237)</f>
        <v>-1211718.12779844</v>
      </c>
      <c r="Q22" s="91" t="n">
        <f aca="false">SUM(Model!AU237:AW237)</f>
        <v>-1211718.12779844</v>
      </c>
      <c r="R22" s="91" t="n">
        <f aca="false">SUM(Model!AX237:AZ237)</f>
        <v>-1211718.12779844</v>
      </c>
      <c r="S22" s="91" t="n">
        <f aca="false">SUM(Model!BA237:BC237)</f>
        <v>-1235952.49035441</v>
      </c>
      <c r="T22" s="91" t="n">
        <f aca="false">SUM(Model!BD237:BF237)</f>
        <v>-1235952.49035441</v>
      </c>
      <c r="U22" s="91" t="n">
        <f aca="false">SUM(Model!BG237:BI237)</f>
        <v>-1235952.49035441</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0.0502967705255128</v>
      </c>
      <c r="G23" s="89" t="n">
        <f aca="false">IFERROR(G22/G7,0)</f>
        <v>0.0358201283482689</v>
      </c>
      <c r="H23" s="89" t="n">
        <f aca="false">IFERROR(H22/H7,0)</f>
        <v>0.0325268383086787</v>
      </c>
      <c r="I23" s="89" t="n">
        <f aca="false">IFERROR(I22/I7,0)</f>
        <v>0.0354763579955557</v>
      </c>
      <c r="J23" s="89" t="n">
        <f aca="false">IFERROR(J22/J7,0)</f>
        <v>0.0530657023015149</v>
      </c>
      <c r="K23" s="89" t="n">
        <f aca="false">IFERROR(K22/K7,0)</f>
        <v>0.00861826180368855</v>
      </c>
      <c r="L23" s="89" t="n">
        <f aca="false">IFERROR(L22/L7,0)</f>
        <v>0.0330974676923401</v>
      </c>
      <c r="M23" s="89" t="n">
        <f aca="false">IFERROR(M22/M7,0)</f>
        <v>-0.059797999338205</v>
      </c>
      <c r="N23" s="89" t="n">
        <f aca="false">IFERROR(N22/N7,0)</f>
        <v>-0.328265473800886</v>
      </c>
      <c r="O23" s="89" t="n">
        <f aca="false">IFERROR(O22/O7,0)</f>
        <v>0</v>
      </c>
      <c r="P23" s="89" t="n">
        <f aca="false">IFERROR(P22/P7,0)</f>
        <v>0</v>
      </c>
      <c r="Q23" s="89" t="n">
        <f aca="false">IFERROR(Q22/Q7,0)</f>
        <v>0</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143298.480827068</v>
      </c>
      <c r="G25" s="13" t="n">
        <f aca="false">Model!Q261+Model!R261+Model!S261</f>
        <v>142313.518421053</v>
      </c>
      <c r="H25" s="13" t="n">
        <f aca="false">Model!T261+Model!U261+Model!V261</f>
        <v>68994.7684210526</v>
      </c>
      <c r="I25" s="13" t="n">
        <f aca="false">Model!W261+Model!X261+Model!Y261</f>
        <v>126892.168421053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81682</v>
      </c>
      <c r="T25" s="13" t="n">
        <f aca="false">Model!BD261+Model!BE261+Model!BF261</f>
        <v>59178</v>
      </c>
      <c r="U25" s="13" t="n">
        <f aca="false">Model!BG261+Model!BH261+Model!BI261</f>
        <v>59176</v>
      </c>
      <c r="V25" s="13" t="n">
        <f aca="false">Model!BJ261+Model!BK261+Model!BL261</f>
        <v>59176</v>
      </c>
      <c r="W25" s="13" t="n">
        <f aca="false">Model!BM261+Model!BN261+Model!BO261</f>
        <v>59176</v>
      </c>
      <c r="X25" s="13" t="n">
        <f aca="false">Model!BP261+Model!BQ261+Model!BR261</f>
        <v>67763</v>
      </c>
      <c r="Y25" s="13" t="n">
        <f aca="false">Model!BS261+Model!BT261+Model!BU261</f>
        <v>67762</v>
      </c>
      <c r="Z25" s="13" t="n">
        <f aca="false">Model!BV261+Model!BW261+Model!BX261</f>
        <v>67762</v>
      </c>
      <c r="AA25" s="13" t="n">
        <f aca="false">Model!BY261+Model!BZ261+Model!CA261</f>
        <v>67762</v>
      </c>
      <c r="AB25" s="13" t="n">
        <f aca="false">Model!CB261+Model!CC261+Model!CD261</f>
        <v>76499</v>
      </c>
      <c r="AC25" s="13" t="n">
        <f aca="false">Model!CE261+Model!CF261+Model!CG261</f>
        <v>76499</v>
      </c>
      <c r="AD25" s="13" t="n">
        <f aca="false">Model!CH261+Model!CI261+Model!CJ261</f>
        <v>76499</v>
      </c>
      <c r="AE25" s="13" t="n">
        <f aca="false">Model!CK261+Model!CL261+Model!CM261</f>
        <v>229497</v>
      </c>
      <c r="AF25" s="13" t="n">
        <f aca="false">Model!CN261+Model!CO261+Model!CP261</f>
        <v>229497</v>
      </c>
      <c r="AG25" s="13" t="n">
        <f aca="false">Model!CQ261+Model!CR261+Model!CS261</f>
        <v>229497</v>
      </c>
      <c r="AH25" s="13" t="n">
        <f aca="false">Model!CT261+Model!CU261+Model!CV261</f>
        <v>229497</v>
      </c>
      <c r="AI25" s="13" t="n">
        <f aca="false">Model!CW261+Model!CX261+Model!CY261</f>
        <v>229497</v>
      </c>
      <c r="AJ25" s="13" t="n">
        <f aca="false">Model!CZ261+Model!DA261+Model!DB261</f>
        <v>229497</v>
      </c>
      <c r="AK25" s="13" t="n">
        <f aca="false">Model!DC261+Model!DD261+Model!DE261</f>
        <v>229497</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-679948.837524544</v>
      </c>
      <c r="T26" s="92" t="n">
        <f aca="false">Model!BD292+Model!BE292+Model!BF292</f>
        <v>-657444.837524544</v>
      </c>
      <c r="U26" s="92" t="n">
        <f aca="false">Model!BG292+Model!BH292+Model!BI292</f>
        <v>-657442.837524544</v>
      </c>
      <c r="V26" s="92" t="n">
        <f aca="false">Model!BJ292+Model!BK292+Model!BL292</f>
        <v>-657442.837524544</v>
      </c>
      <c r="W26" s="92" t="n">
        <f aca="false">Model!BM292+Model!BN292+Model!BO292</f>
        <v>-669108.174275035</v>
      </c>
      <c r="X26" s="92" t="n">
        <f aca="false">Model!BP292+Model!BQ292+Model!BR292</f>
        <v>-624444.824275035</v>
      </c>
      <c r="Y26" s="92" t="n">
        <f aca="false">Model!BS292+Model!BT292+Model!BU292</f>
        <v>-609932.174275035</v>
      </c>
      <c r="Z26" s="92" t="n">
        <f aca="false">Model!BV292+Model!BW292+Model!BX292</f>
        <v>-609932.174275035</v>
      </c>
      <c r="AA26" s="92" t="n">
        <f aca="false">Model!BY292+Model!BZ292+Model!CA292</f>
        <v>-621830.817760536</v>
      </c>
      <c r="AB26" s="92" t="n">
        <f aca="false">Model!CB292+Model!CC292+Model!CD292</f>
        <v>-621830.817760536</v>
      </c>
      <c r="AC26" s="92" t="n">
        <f aca="false">Model!CE292+Model!CF292+Model!CG292</f>
        <v>-621830.817760536</v>
      </c>
      <c r="AD26" s="92" t="n">
        <f aca="false">Model!CH292+Model!CI292+Model!CJ292</f>
        <v>-621830.817760536</v>
      </c>
      <c r="AE26" s="92" t="n">
        <f aca="false">Model!CK292+Model!CL292+Model!CM292</f>
        <v>-633967.434115746</v>
      </c>
      <c r="AF26" s="92" t="n">
        <f aca="false">Model!CN292+Model!CO292+Model!CP292</f>
        <v>-633967.434115746</v>
      </c>
      <c r="AG26" s="92" t="n">
        <f aca="false">Model!CQ292+Model!CR292+Model!CS292</f>
        <v>-633967.434115746</v>
      </c>
      <c r="AH26" s="92" t="n">
        <f aca="false">Model!CT292+Model!CU292+Model!CV292</f>
        <v>-606901.52807176</v>
      </c>
      <c r="AI26" s="92" t="n">
        <f aca="false">Model!CW292+Model!CX292+Model!CY292</f>
        <v>-618739.558633196</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-410549.919172932</v>
      </c>
      <c r="G27" s="37" t="n">
        <f aca="false">Model!Q293+Model!R293+Model!S293</f>
        <v>-422311.849578947</v>
      </c>
      <c r="H27" s="37" t="n">
        <f aca="false">Model!T293+Model!U293+Model!V293</f>
        <v>-495630.599578947</v>
      </c>
      <c r="I27" s="37" t="n">
        <f aca="false">Model!W293+Model!X293+Model!Y293</f>
        <v>-437733.199578947</v>
      </c>
      <c r="J27" s="37" t="n">
        <f aca="false">Model!Z293+Model!AA293+Model!AB293</f>
        <v>-459802.999578947</v>
      </c>
      <c r="K27" s="37" t="n">
        <f aca="false">Model!AC293+Model!AD293+Model!AE293</f>
        <v>-470795.506938947</v>
      </c>
      <c r="L27" s="37" t="n">
        <f aca="false">Model!AF293+Model!AG293+Model!AH293</f>
        <v>-537644.191149474</v>
      </c>
      <c r="M27" s="37" t="n">
        <f aca="false">Model!AI293+Model!AJ293+Model!AK293</f>
        <v>-575617.87536</v>
      </c>
      <c r="N27" s="37" t="n">
        <f aca="false">Model!AL293+Model!AM293+Model!AN293</f>
        <v>-575617.87536</v>
      </c>
      <c r="O27" s="37" t="n">
        <f aca="false">Model!AO293+Model!AP293+Model!AQ293</f>
        <v>-586830.2328672</v>
      </c>
      <c r="P27" s="37" t="n">
        <f aca="false">Model!AR293+Model!AS293+Model!AT293</f>
        <v>-586830.2328672</v>
      </c>
      <c r="Q27" s="37" t="n">
        <f aca="false">Model!AU293+Model!AV293+Model!AW293</f>
        <v>-586830.2328672</v>
      </c>
      <c r="R27" s="37" t="n">
        <f aca="false">Model!AX293+Model!AY293+Model!AZ293</f>
        <v>-586830.2328672</v>
      </c>
      <c r="S27" s="37" t="n">
        <f aca="false">Model!BA293+Model!BB293+Model!BC293</f>
        <v>-598266.837524544</v>
      </c>
      <c r="T27" s="37" t="n">
        <f aca="false">Model!BD293+Model!BE293+Model!BF293</f>
        <v>-598266.837524544</v>
      </c>
      <c r="U27" s="37" t="n">
        <f aca="false">Model!BG293+Model!BH293+Model!BI293</f>
        <v>-598266.837524544</v>
      </c>
      <c r="V27" s="37" t="n">
        <f aca="false">Model!BJ293+Model!BK293+Model!BL293</f>
        <v>-598266.837524544</v>
      </c>
      <c r="W27" s="37" t="n">
        <f aca="false">Model!BM293+Model!BN293+Model!BO293</f>
        <v>-609932.174275035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-545331.817760536</v>
      </c>
      <c r="AE27" s="37" t="n">
        <f aca="false">Model!CK293+Model!CL293+Model!CM293</f>
        <v>-404470.434115746</v>
      </c>
      <c r="AF27" s="37" t="n">
        <f aca="false">Model!CN293+Model!CO293+Model!CP293</f>
        <v>-404470.434115746</v>
      </c>
      <c r="AG27" s="37" t="n">
        <f aca="false">Model!CQ293+Model!CR293+Model!CS293</f>
        <v>-404470.434115746</v>
      </c>
      <c r="AH27" s="37" t="n">
        <f aca="false">Model!CT293+Model!CU293+Model!CV293</f>
        <v>-377404.52807176</v>
      </c>
      <c r="AI27" s="37" t="n">
        <f aca="false">Model!CW293+Model!CX293+Model!CY293</f>
        <v>-389242.558633195</v>
      </c>
      <c r="AJ27" s="37" t="n">
        <f aca="false">Model!CZ293+Model!DA293+Model!DB293</f>
        <v>-389242.558633195</v>
      </c>
      <c r="AK27" s="37" t="n">
        <f aca="false">Model!DC293+Model!DD293+Model!DE293</f>
        <v>-389242.558633195</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608287.844263599</v>
      </c>
      <c r="G29" s="37" t="n">
        <f aca="false">Model!Q302+Model!R302+Model!S302</f>
        <v>357124.747780198</v>
      </c>
      <c r="H29" s="37" t="n">
        <f aca="false">Model!T302+Model!U302+Model!V302</f>
        <v>301177.533934042</v>
      </c>
      <c r="I29" s="37" t="n">
        <f aca="false">Model!W302+Model!X302+Model!Y302</f>
        <v>313430.491626353</v>
      </c>
      <c r="J29" s="37" t="n">
        <f aca="false">Model!Z302+Model!AA302+Model!AB302</f>
        <v>507875.418171206</v>
      </c>
      <c r="K29" s="37" t="n">
        <f aca="false">Model!AC302+Model!AD302+Model!AE302</f>
        <v>-382515.203173631</v>
      </c>
      <c r="L29" s="37" t="n">
        <f aca="false">Model!AF302+Model!AG302+Model!AH302</f>
        <v>-230266.584575793</v>
      </c>
      <c r="M29" s="37" t="n">
        <f aca="false">Model!AI302+Model!AJ302+Model!AK302</f>
        <v>-893622.656131979</v>
      </c>
      <c r="N29" s="37" t="n">
        <f aca="false">Model!AL302+Model!AM302+Model!AN302</f>
        <v>-1438708.674182</v>
      </c>
      <c r="O29" s="37" t="n">
        <f aca="false">Model!AO302+Model!AP302+Model!AQ302</f>
        <v>-1798548.36066564</v>
      </c>
      <c r="P29" s="37" t="n">
        <f aca="false">Model!AR302+Model!AS302+Model!AT302</f>
        <v>-1798548.36066564</v>
      </c>
      <c r="Q29" s="37" t="n">
        <f aca="false">Model!AU302+Model!AV302+Model!AW302</f>
        <v>-1798548.36066564</v>
      </c>
      <c r="R29" s="37" t="n">
        <f aca="false">Model!AX302+Model!AY302+Model!AZ302</f>
        <v>-1798548.36066564</v>
      </c>
      <c r="S29" s="37" t="n">
        <f aca="false">Model!BA302+Model!BB302+Model!BC302</f>
        <v>-1834219.32787895</v>
      </c>
      <c r="T29" s="37" t="n">
        <f aca="false">Model!BD302+Model!BE302+Model!BF302</f>
        <v>-1834219.32787895</v>
      </c>
      <c r="U29" s="37" t="n">
        <f aca="false">Model!BG302+Model!BH302+Model!BI302</f>
        <v>-1834219.32787895</v>
      </c>
      <c r="V29" s="37" t="n">
        <f aca="false">Model!BJ302+Model!BK302+Model!BL302</f>
        <v>-1834219.32787895</v>
      </c>
      <c r="W29" s="37" t="n">
        <f aca="false">Model!BM302+Model!BN302+Model!BO302</f>
        <v>-1870603.71443653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-1831216.78872526</v>
      </c>
      <c r="AE29" s="37" t="n">
        <f aca="false">Model!CK302+Model!CL302+Model!CM302</f>
        <v>-1716073.10449977</v>
      </c>
      <c r="AF29" s="37" t="n">
        <f aca="false">Model!CN302+Model!CO302+Model!CP302</f>
        <v>-1716073.10449977</v>
      </c>
      <c r="AG29" s="37" t="n">
        <f aca="false">Model!CQ302+Model!CR302+Model!CS302</f>
        <v>-1716073.10449977</v>
      </c>
      <c r="AH29" s="37" t="n">
        <f aca="false">Model!CT302+Model!CU302+Model!CV302</f>
        <v>-1533666.71962143</v>
      </c>
      <c r="AI29" s="37" t="n">
        <f aca="false">Model!CW302+Model!CX302+Model!CY302</f>
        <v>-1568629.99401386</v>
      </c>
      <c r="AJ29" s="37" t="n">
        <f aca="false">Model!CZ302+Model!DA302+Model!DB302</f>
        <v>-1568629.99401386</v>
      </c>
      <c r="AK29" s="37" t="n">
        <f aca="false">Model!DC302+Model!DD302+Model!DE302</f>
        <v>-1568629.99401386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-0</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-0</v>
      </c>
      <c r="T35" s="93" t="n">
        <f aca="false">Model!BD290+Model!BE290+Model!BF290</f>
        <v>-0</v>
      </c>
      <c r="U35" s="93" t="n">
        <f aca="false">Model!BG290+Model!BH290+Model!BI290</f>
        <v>-0</v>
      </c>
      <c r="V35" s="93" t="n">
        <f aca="false">Model!BJ290+Model!BK290+Model!BL290</f>
        <v>-0</v>
      </c>
      <c r="W35" s="93" t="n">
        <f aca="false">Model!BM290+Model!BN290+Model!BO290</f>
        <v>-0</v>
      </c>
      <c r="X35" s="93" t="n">
        <f aca="false">Model!BP290+Model!BQ290+Model!BR290</f>
        <v>-0</v>
      </c>
      <c r="Y35" s="93" t="n">
        <f aca="false">Model!BS290+Model!BT290+Model!BU290</f>
        <v>-0</v>
      </c>
      <c r="Z35" s="93" t="n">
        <f aca="false">Model!BV290+Model!BW290+Model!BX290</f>
        <v>-0</v>
      </c>
      <c r="AA35" s="93" t="n">
        <f aca="false">Model!BY290+Model!BZ290+Model!CA290</f>
        <v>-0</v>
      </c>
      <c r="AB35" s="93" t="n">
        <f aca="false">Model!CB290+Model!CC290+Model!CD290</f>
        <v>-0</v>
      </c>
      <c r="AC35" s="93" t="n">
        <f aca="false">Model!CE290+Model!CF290+Model!CG290</f>
        <v>-0</v>
      </c>
      <c r="AD35" s="93" t="n">
        <f aca="false">Model!CH290+Model!CI290+Model!CJ290</f>
        <v>-0</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-0</v>
      </c>
      <c r="AB36" s="93" t="n">
        <f aca="false">Model!CB291+Model!CC291+Model!CD291</f>
        <v>-0</v>
      </c>
      <c r="AC36" s="93" t="n">
        <f aca="false">Model!CE291+Model!CF291+Model!CG291</f>
        <v>-0</v>
      </c>
      <c r="AD36" s="93" t="n">
        <f aca="false">Model!CH291+Model!CI291+Model!CJ291</f>
        <v>-0</v>
      </c>
      <c r="AE36" s="93" t="n">
        <f aca="false">Model!CK291+Model!CL291+Model!CM291</f>
        <v>-0</v>
      </c>
      <c r="AF36" s="93" t="n">
        <f aca="false">Model!CN291+Model!CO291+Model!CP291</f>
        <v>-0</v>
      </c>
      <c r="AG36" s="93" t="n">
        <f aca="false">Model!CQ291+Model!CR291+Model!CS291</f>
        <v>-0</v>
      </c>
      <c r="AH36" s="93" t="n">
        <f aca="false">Model!CT291+Model!CU291+Model!CV291</f>
        <v>-0</v>
      </c>
      <c r="AI36" s="93" t="n">
        <f aca="false">Model!CW291+Model!CX291+Model!CY291</f>
        <v>-0</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750000</v>
      </c>
      <c r="O42" s="93" t="n">
        <f aca="false">Model!AQ317</f>
        <v>750000</v>
      </c>
      <c r="P42" s="93" t="n">
        <f aca="false">Model!AT317</f>
        <v>750000</v>
      </c>
      <c r="Q42" s="93" t="n">
        <f aca="false">Model!AW317</f>
        <v>750000</v>
      </c>
      <c r="R42" s="93" t="n">
        <f aca="false">Model!AZ317</f>
        <v>750000</v>
      </c>
      <c r="S42" s="93" t="n">
        <f aca="false">Model!BC317</f>
        <v>750000</v>
      </c>
      <c r="T42" s="93" t="n">
        <f aca="false">Model!BF317</f>
        <v>750000</v>
      </c>
      <c r="U42" s="93" t="n">
        <f aca="false">Model!BI317</f>
        <v>750000</v>
      </c>
      <c r="V42" s="93" t="n">
        <f aca="false">Model!BL317</f>
        <v>750000</v>
      </c>
      <c r="W42" s="93" t="n">
        <f aca="false">Model!BO317</f>
        <v>750000</v>
      </c>
      <c r="X42" s="93" t="n">
        <f aca="false">Model!BR317</f>
        <v>750000</v>
      </c>
      <c r="Y42" s="93" t="n">
        <f aca="false">Model!BU317</f>
        <v>750000</v>
      </c>
      <c r="Z42" s="93" t="n">
        <f aca="false">Model!BX317</f>
        <v>750000</v>
      </c>
      <c r="AA42" s="93" t="n">
        <f aca="false">Model!CA317</f>
        <v>750000</v>
      </c>
      <c r="AB42" s="93" t="n">
        <f aca="false">Model!CD317</f>
        <v>750000</v>
      </c>
      <c r="AC42" s="93" t="n">
        <f aca="false">Model!CG317</f>
        <v>750000</v>
      </c>
      <c r="AD42" s="93" t="n">
        <f aca="false">Model!CJ317</f>
        <v>750000</v>
      </c>
      <c r="AE42" s="93" t="n">
        <f aca="false">Model!CM317</f>
        <v>750000</v>
      </c>
      <c r="AF42" s="93" t="n">
        <f aca="false">Model!CP317</f>
        <v>750000</v>
      </c>
      <c r="AG42" s="93" t="n">
        <f aca="false">Model!CS317</f>
        <v>750000</v>
      </c>
      <c r="AH42" s="93" t="n">
        <f aca="false">Model!CV317</f>
        <v>750000</v>
      </c>
      <c r="AI42" s="93" t="n">
        <f aca="false">Model!CY317</f>
        <v>750000</v>
      </c>
      <c r="AJ42" s="93" t="n">
        <f aca="false">Model!DB317</f>
        <v>750000</v>
      </c>
      <c r="AK42" s="93" t="n">
        <f aca="false">Model!DE317</f>
        <v>750000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0</v>
      </c>
      <c r="D44" s="93" t="n">
        <f aca="false">Model!J324+Model!J329+Model!J334+Model!J339</f>
        <v>0</v>
      </c>
      <c r="E44" s="93" t="n">
        <f aca="false">Model!M324+Model!M329+Model!M334+Model!M339</f>
        <v>0</v>
      </c>
      <c r="F44" s="93" t="n">
        <f aca="false">Model!P324+Model!P329+Model!P334+Model!P339</f>
        <v>0</v>
      </c>
      <c r="G44" s="93" t="n">
        <f aca="false">Model!S324+Model!S329+Model!S334+Model!S339</f>
        <v>0</v>
      </c>
      <c r="H44" s="93" t="n">
        <f aca="false">Model!V324+Model!V329+Model!V334+Model!V339</f>
        <v>0</v>
      </c>
      <c r="I44" s="93" t="n">
        <f aca="false">Model!Y324+Model!Y329+Model!Y334+Model!Y339</f>
        <v>0</v>
      </c>
      <c r="J44" s="93" t="n">
        <f aca="false">Model!AB324+Model!AB329+Model!AB334+Model!AB339</f>
        <v>0</v>
      </c>
      <c r="K44" s="93" t="n">
        <f aca="false">Model!AE324+Model!AE329+Model!AE334+Model!AE339</f>
        <v>0</v>
      </c>
      <c r="L44" s="93" t="n">
        <f aca="false">Model!AH324+Model!AH329+Model!AH334+Model!AH339</f>
        <v>0</v>
      </c>
      <c r="M44" s="93" t="n">
        <f aca="false">Model!AK324+Model!AK329+Model!AK334+Model!AK339</f>
        <v>0</v>
      </c>
      <c r="N44" s="93" t="n">
        <f aca="false">Model!AN324+Model!AN329+Model!AN334+Model!AN339</f>
        <v>0</v>
      </c>
      <c r="O44" s="93" t="n">
        <f aca="false">Model!AQ324+Model!AQ329+Model!AQ334+Model!AQ339</f>
        <v>0</v>
      </c>
      <c r="P44" s="93" t="n">
        <f aca="false">Model!AT324+Model!AT329+Model!AT334+Model!AT339</f>
        <v>0</v>
      </c>
      <c r="Q44" s="93" t="n">
        <f aca="false">Model!AW324+Model!AW329+Model!AW334+Model!AW339</f>
        <v>0</v>
      </c>
      <c r="R44" s="93" t="n">
        <f aca="false">Model!AZ324+Model!AZ329+Model!AZ334+Model!AZ339</f>
        <v>0</v>
      </c>
      <c r="S44" s="93" t="n">
        <f aca="false">Model!BC324+Model!BC329+Model!BC334+Model!BC339</f>
        <v>0</v>
      </c>
      <c r="T44" s="93" t="n">
        <f aca="false">Model!BF324+Model!BF329+Model!BF334+Model!BF339</f>
        <v>0</v>
      </c>
      <c r="U44" s="93" t="n">
        <f aca="false">Model!BI324+Model!BI329+Model!BI334+Model!BI339</f>
        <v>0</v>
      </c>
      <c r="V44" s="93" t="n">
        <f aca="false">Model!BL324+Model!BL329+Model!BL334+Model!BL339</f>
        <v>0</v>
      </c>
      <c r="W44" s="93" t="n">
        <f aca="false">Model!BO324+Model!BO329+Model!BO334+Model!BO339</f>
        <v>0</v>
      </c>
      <c r="X44" s="93" t="n">
        <f aca="false">Model!BR324+Model!BR329+Model!BR334+Model!BR339</f>
        <v>0</v>
      </c>
      <c r="Y44" s="93" t="n">
        <f aca="false">Model!BU324+Model!BU329+Model!BU334+Model!BU339</f>
        <v>0</v>
      </c>
      <c r="Z44" s="93" t="n">
        <f aca="false">Model!BX324+Model!BX329+Model!BX334+Model!BX339</f>
        <v>0</v>
      </c>
      <c r="AA44" s="93" t="n">
        <f aca="false">Model!CA324+Model!CA329+Model!CA334+Model!CA339</f>
        <v>0</v>
      </c>
      <c r="AB44" s="93" t="n">
        <f aca="false">Model!CD324+Model!CD329+Model!CD334+Model!CD339</f>
        <v>0</v>
      </c>
      <c r="AC44" s="93" t="n">
        <f aca="false">Model!CG324+Model!CG329+Model!CG334+Model!CG339</f>
        <v>0</v>
      </c>
      <c r="AD44" s="93" t="n">
        <f aca="false">Model!CJ324+Model!CJ329+Model!CJ334+Model!CJ339</f>
        <v>0</v>
      </c>
      <c r="AE44" s="93" t="n">
        <f aca="false">Model!CM324+Model!CM329+Model!CM334+Model!CM339</f>
        <v>0</v>
      </c>
      <c r="AF44" s="93" t="n">
        <f aca="false">Model!CP324+Model!CP329+Model!CP334+Model!CP339</f>
        <v>0</v>
      </c>
      <c r="AG44" s="93" t="n">
        <f aca="false">Model!CS324+Model!CS329+Model!CS334+Model!CS339</f>
        <v>0</v>
      </c>
      <c r="AH44" s="93" t="n">
        <f aca="false">Model!CV324+Model!CV329+Model!CV334+Model!CV339</f>
        <v>0</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67760044.5073005</v>
      </c>
      <c r="H46" s="93" t="n">
        <f aca="false">Model!V350</f>
        <v>51446278.888487</v>
      </c>
      <c r="I46" s="93" t="n">
        <f aca="false">Model!Y350</f>
        <v>36328367.21002</v>
      </c>
      <c r="J46" s="93" t="n">
        <f aca="false">Model!AB350</f>
        <v>18889856.7578</v>
      </c>
      <c r="K46" s="93" t="n">
        <f aca="false">Model!AE350</f>
        <v>13375707.75</v>
      </c>
      <c r="L46" s="93" t="n">
        <f aca="false">Model!AH350</f>
        <v>7184499.57</v>
      </c>
      <c r="M46" s="93" t="n">
        <f aca="false">Model!AK350</f>
        <v>2700888.54</v>
      </c>
      <c r="N46" s="93" t="n">
        <f aca="false">Model!AN350</f>
        <v>0</v>
      </c>
      <c r="O46" s="93" t="n">
        <f aca="false">Model!AQ350</f>
        <v>0</v>
      </c>
      <c r="P46" s="93" t="n">
        <f aca="false">Model!AT350</f>
        <v>0</v>
      </c>
      <c r="Q46" s="93" t="n">
        <f aca="false">Model!AW350</f>
        <v>0</v>
      </c>
      <c r="R46" s="93" t="n">
        <f aca="false">Model!AZ350</f>
        <v>0</v>
      </c>
      <c r="S46" s="93" t="n">
        <f aca="false">Model!BC350</f>
        <v>0</v>
      </c>
      <c r="T46" s="93" t="n">
        <f aca="false">Model!BF350</f>
        <v>0</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1739781.35069781</v>
      </c>
      <c r="G48" s="83" t="n">
        <f aca="false">Model!S363</f>
        <v>2559058.240884</v>
      </c>
      <c r="H48" s="83" t="n">
        <f aca="false">Model!V363</f>
        <v>3313765.09672404</v>
      </c>
      <c r="I48" s="83" t="n">
        <f aca="false">Model!Y363</f>
        <v>4155783.84125638</v>
      </c>
      <c r="J48" s="83" t="n">
        <f aca="false">Model!AB363</f>
        <v>5204162.93996363</v>
      </c>
      <c r="K48" s="83" t="n">
        <f aca="false">Model!AE363</f>
        <v>5442378.67649698</v>
      </c>
      <c r="L48" s="83" t="n">
        <f aca="false">Model!AH363</f>
        <v>5926468.4964922</v>
      </c>
      <c r="M48" s="83" t="n">
        <f aca="false">Model!AK363</f>
        <v>5948092.3261266</v>
      </c>
      <c r="N48" s="83" t="n">
        <f aca="false">Model!AN363</f>
        <v>5408420.21580461</v>
      </c>
      <c r="O48" s="83" t="n">
        <f aca="false">Model!AQ363</f>
        <v>4236630.69800617</v>
      </c>
      <c r="P48" s="83" t="n">
        <f aca="false">Model!AT363</f>
        <v>3024912.57020773</v>
      </c>
      <c r="Q48" s="83" t="n">
        <f aca="false">Model!AW363</f>
        <v>1813194.44240929</v>
      </c>
      <c r="R48" s="83" t="n">
        <f aca="false">Model!AZ363</f>
        <v>601476.314610845</v>
      </c>
      <c r="S48" s="83" t="n">
        <f aca="false">Model!BC363</f>
        <v>-634476.175743564</v>
      </c>
      <c r="T48" s="83" t="n">
        <f aca="false">Model!BF363</f>
        <v>-1870428.66609797</v>
      </c>
      <c r="U48" s="83" t="n">
        <f aca="false">Model!BI363</f>
        <v>-3106381.15645238</v>
      </c>
      <c r="V48" s="83" t="n">
        <f aca="false">Model!BL363</f>
        <v>-4342333.64680679</v>
      </c>
      <c r="W48" s="83" t="n">
        <f aca="false">Model!BO363</f>
        <v>-5603005.18696829</v>
      </c>
      <c r="X48" s="83" t="n">
        <f aca="false">Model!BR363</f>
        <v>-6863676.72712978</v>
      </c>
      <c r="Y48" s="83" t="n">
        <f aca="false">Model!BU363</f>
        <v>-8124348.26729128</v>
      </c>
      <c r="Z48" s="83" t="n">
        <f aca="false">Model!BX363</f>
        <v>-9385019.80745278</v>
      </c>
      <c r="AA48" s="83" t="n">
        <f aca="false">Model!CA363</f>
        <v>-10670904.7784175</v>
      </c>
      <c r="AB48" s="83" t="n">
        <f aca="false">Model!CD363</f>
        <v>-11956789.7493822</v>
      </c>
      <c r="AC48" s="83" t="n">
        <f aca="false">Model!CG363</f>
        <v>-13242674.720347</v>
      </c>
      <c r="AD48" s="83" t="n">
        <f aca="false">Model!CJ363</f>
        <v>-14528559.6913117</v>
      </c>
      <c r="AE48" s="83" t="n">
        <f aca="false">Model!CM363</f>
        <v>-15840162.3616957</v>
      </c>
      <c r="AF48" s="83" t="n">
        <f aca="false">Model!CP363</f>
        <v>-17151765.0320797</v>
      </c>
      <c r="AG48" s="83" t="n">
        <f aca="false">Model!CS363</f>
        <v>-18463367.7024637</v>
      </c>
      <c r="AH48" s="83" t="n">
        <f aca="false">Model!CV363</f>
        <v>-19619629.8940134</v>
      </c>
      <c r="AI48" s="83" t="n">
        <f aca="false">Model!CY363</f>
        <v>-20799017.3293941</v>
      </c>
      <c r="AJ48" s="83" t="n">
        <f aca="false">Model!DB363</f>
        <v>-21978404.7647748</v>
      </c>
      <c r="AK48" s="83" t="n">
        <f aca="false">Model!DE363</f>
        <v>-23157792.2001554</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-684949.452506266</v>
      </c>
      <c r="G49" s="83" t="n">
        <f aca="false">Model!S371</f>
        <v>-1443261.30208521</v>
      </c>
      <c r="H49" s="83" t="n">
        <f aca="false">Model!V371</f>
        <v>-2274891.90166416</v>
      </c>
      <c r="I49" s="83" t="n">
        <f aca="false">Model!Y371</f>
        <v>-3048625.10124311</v>
      </c>
      <c r="J49" s="83" t="n">
        <f aca="false">Model!AB371</f>
        <v>-4094428.10082206</v>
      </c>
      <c r="K49" s="83" t="n">
        <f aca="false">Model!AE371</f>
        <v>-4881205.0380396</v>
      </c>
      <c r="L49" s="83" t="n">
        <f aca="false">Model!AH371</f>
        <v>-5418849.22918907</v>
      </c>
      <c r="M49" s="83" t="n">
        <f aca="false">Model!AK371</f>
        <v>-5994467.10454907</v>
      </c>
      <c r="N49" s="83" t="n">
        <f aca="false">Model!AN371</f>
        <v>-6570084.97990907</v>
      </c>
      <c r="O49" s="83" t="n">
        <f aca="false">Model!AQ371</f>
        <v>-7156915.21277627</v>
      </c>
      <c r="P49" s="83" t="n">
        <f aca="false">Model!AT371</f>
        <v>-7743745.44564347</v>
      </c>
      <c r="Q49" s="83" t="n">
        <f aca="false">Model!AW371</f>
        <v>-8330575.67851067</v>
      </c>
      <c r="R49" s="83" t="n">
        <f aca="false">Model!AZ371</f>
        <v>-8917405.91137787</v>
      </c>
      <c r="S49" s="83" t="n">
        <f aca="false">Model!BC371</f>
        <v>-9515672.74890241</v>
      </c>
      <c r="T49" s="83" t="n">
        <f aca="false">Model!BF371</f>
        <v>-10113939.586427</v>
      </c>
      <c r="U49" s="83" t="n">
        <f aca="false">Model!BI371</f>
        <v>-10712206.4239515</v>
      </c>
      <c r="V49" s="83" t="n">
        <f aca="false">Model!BL371</f>
        <v>-11310473.261476</v>
      </c>
      <c r="W49" s="83" t="n">
        <f aca="false">Model!BO371</f>
        <v>-11920405.4357511</v>
      </c>
      <c r="X49" s="83" t="n">
        <f aca="false">Model!BR371</f>
        <v>-12477087.2600261</v>
      </c>
      <c r="Y49" s="83" t="n">
        <f aca="false">Model!BU371</f>
        <v>-13019257.4343012</v>
      </c>
      <c r="Z49" s="83" t="n">
        <f aca="false">Model!BX371</f>
        <v>-13561427.6085762</v>
      </c>
      <c r="AA49" s="83" t="n">
        <f aca="false">Model!CA371</f>
        <v>-14115496.4263367</v>
      </c>
      <c r="AB49" s="83" t="n">
        <f aca="false">Model!CD371</f>
        <v>-14660828.2440973</v>
      </c>
      <c r="AC49" s="83" t="n">
        <f aca="false">Model!CG371</f>
        <v>-15206160.0618578</v>
      </c>
      <c r="AD49" s="83" t="n">
        <f aca="false">Model!CJ371</f>
        <v>-15751491.8796183</v>
      </c>
      <c r="AE49" s="83" t="n">
        <f aca="false">Model!CM371</f>
        <v>-16155962.3137341</v>
      </c>
      <c r="AF49" s="83" t="n">
        <f aca="false">Model!CP371</f>
        <v>-16560432.7478498</v>
      </c>
      <c r="AG49" s="83" t="n">
        <f aca="false">Model!CS371</f>
        <v>-16964903.1819656</v>
      </c>
      <c r="AH49" s="83" t="n">
        <f aca="false">Model!CV371</f>
        <v>-17342307.7100374</v>
      </c>
      <c r="AI49" s="83" t="n">
        <f aca="false">Model!CY371</f>
        <v>-17731550.2686706</v>
      </c>
      <c r="AJ49" s="83" t="n">
        <f aca="false">Model!DB371</f>
        <v>-18120792.8273038</v>
      </c>
      <c r="AK49" s="83" t="n">
        <f aca="false">Model!DE371</f>
        <v>-18510035.385937</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-794750.370654909</v>
      </c>
      <c r="K50" s="83" t="n">
        <f aca="false">Model!AC375+Model!AD375+Model!AE375</f>
        <v>0</v>
      </c>
      <c r="L50" s="83" t="n">
        <f aca="false">Model!AF375+Model!AG375+Model!AH375</f>
        <v>0</v>
      </c>
      <c r="M50" s="83" t="n">
        <f aca="false">Model!AI375+Model!AJ375+Model!AK375</f>
        <v>0</v>
      </c>
      <c r="N50" s="83" t="n">
        <f aca="false">Model!AL375+Model!AM375+Model!AN375</f>
        <v>0</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848793.687459426</v>
      </c>
      <c r="G51" s="84" t="n">
        <f aca="false">Model!S376</f>
        <v>1115796.93879879</v>
      </c>
      <c r="H51" s="84" t="n">
        <f aca="false">Model!V376</f>
        <v>1038873.19505988</v>
      </c>
      <c r="I51" s="84" t="n">
        <f aca="false">Model!Y376</f>
        <v>1107158.74001327</v>
      </c>
      <c r="J51" s="84" t="n">
        <f aca="false">Model!AB376</f>
        <v>314984.468486662</v>
      </c>
      <c r="K51" s="84" t="n">
        <f aca="false">Model!AE376</f>
        <v>561173.638457378</v>
      </c>
      <c r="L51" s="84" t="n">
        <f aca="false">Model!AH376</f>
        <v>507619.267303126</v>
      </c>
      <c r="M51" s="84" t="n">
        <f aca="false">Model!AK376</f>
        <v>-46374.7784224683</v>
      </c>
      <c r="N51" s="84" t="n">
        <f aca="false">Model!AN376</f>
        <v>-1161664.76410447</v>
      </c>
      <c r="O51" s="84" t="n">
        <f aca="false">Model!AQ376</f>
        <v>-2920284.51477011</v>
      </c>
      <c r="P51" s="84" t="n">
        <f aca="false">Model!AT376</f>
        <v>-4718832.87543575</v>
      </c>
      <c r="Q51" s="84" t="n">
        <f aca="false">Model!AW376</f>
        <v>-6517381.23610138</v>
      </c>
      <c r="R51" s="84" t="n">
        <f aca="false">Model!AZ376</f>
        <v>-8315929.59676703</v>
      </c>
      <c r="S51" s="84" t="n">
        <f aca="false">Model!BC376</f>
        <v>-10150148.924646</v>
      </c>
      <c r="T51" s="84" t="n">
        <f aca="false">Model!BF376</f>
        <v>-11984368.2525249</v>
      </c>
      <c r="U51" s="84" t="n">
        <f aca="false">Model!BI376</f>
        <v>-13818587.5804039</v>
      </c>
      <c r="V51" s="84" t="n">
        <f aca="false">Model!BL376</f>
        <v>-15652806.9082828</v>
      </c>
      <c r="W51" s="84" t="n">
        <f aca="false">Model!BO376</f>
        <v>-17523410.6227194</v>
      </c>
      <c r="X51" s="84" t="n">
        <f aca="false">Model!BR376</f>
        <v>-19340763.9871559</v>
      </c>
      <c r="Y51" s="84" t="n">
        <f aca="false">Model!BU376</f>
        <v>-21143605.7015924</v>
      </c>
      <c r="Z51" s="84" t="n">
        <f aca="false">Model!BX376</f>
        <v>-22946447.416029</v>
      </c>
      <c r="AA51" s="84" t="n">
        <f aca="false">Model!CA376</f>
        <v>-24786401.2047542</v>
      </c>
      <c r="AB51" s="84" t="n">
        <f aca="false">Model!CD376</f>
        <v>-26617617.9934795</v>
      </c>
      <c r="AC51" s="84" t="n">
        <f aca="false">Model!CG376</f>
        <v>-28448834.7822048</v>
      </c>
      <c r="AD51" s="84" t="n">
        <f aca="false">Model!CJ376</f>
        <v>-30280051.57093</v>
      </c>
      <c r="AE51" s="84" t="n">
        <f aca="false">Model!CM376</f>
        <v>-31996124.6754298</v>
      </c>
      <c r="AF51" s="84" t="n">
        <f aca="false">Model!CP376</f>
        <v>-33712197.7799296</v>
      </c>
      <c r="AG51" s="84" t="n">
        <f aca="false">Model!CS376</f>
        <v>-35428270.8844293</v>
      </c>
      <c r="AH51" s="84" t="n">
        <f aca="false">Model!CV376</f>
        <v>-36961937.6040508</v>
      </c>
      <c r="AI51" s="84" t="n">
        <f aca="false">Model!CY376</f>
        <v>-38530567.5980646</v>
      </c>
      <c r="AJ51" s="84" t="n">
        <f aca="false">Model!DB376</f>
        <v>-40099197.5920785</v>
      </c>
      <c r="AK51" s="84" t="n">
        <f aca="false">Model!DE376</f>
        <v>-41667827.5860924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349</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352</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353</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customHeight="false"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354</v>
      </c>
    </row>
    <row r="2" customFormat="false" ht="15" hidden="false" customHeight="true" outlineLevel="0" collapsed="false">
      <c r="A2" s="72" t="s">
        <v>355</v>
      </c>
    </row>
    <row r="3" customFormat="false" ht="15" hidden="false" customHeight="true" outlineLevel="0" collapsed="false">
      <c r="A3" s="110"/>
      <c r="AP3" s="94" t="s">
        <v>356</v>
      </c>
    </row>
    <row r="4" customFormat="false" ht="19.5" hidden="false" customHeight="true" outlineLevel="0" collapsed="false">
      <c r="A4" s="94" t="s">
        <v>357</v>
      </c>
    </row>
    <row r="5" customFormat="false" ht="15" hidden="false" customHeight="true" outlineLevel="0" collapsed="false">
      <c r="A5" s="72" t="s">
        <v>358</v>
      </c>
    </row>
    <row r="6" customFormat="false" ht="15" hidden="false" customHeight="true" outlineLevel="0" collapsed="false">
      <c r="A6" s="111"/>
      <c r="B6" s="111" t="s">
        <v>359</v>
      </c>
      <c r="C6" s="111" t="s">
        <v>360</v>
      </c>
      <c r="D6" s="111" t="s">
        <v>361</v>
      </c>
      <c r="E6" s="111" t="s">
        <v>362</v>
      </c>
      <c r="F6" s="111" t="s">
        <v>363</v>
      </c>
      <c r="G6" s="111" t="s">
        <v>364</v>
      </c>
      <c r="AP6" s="112" t="s">
        <v>365</v>
      </c>
    </row>
    <row r="7" customFormat="false" ht="15" hidden="false" customHeight="true" outlineLevel="0" collapsed="false">
      <c r="A7" s="113" t="s">
        <v>366</v>
      </c>
    </row>
    <row r="8" customFormat="false" ht="15" hidden="false" customHeight="true" outlineLevel="0" collapsed="false">
      <c r="A8" s="110" t="s">
        <v>367</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368</v>
      </c>
    </row>
    <row r="9" customFormat="false" ht="15" hidden="false" customHeight="true" outlineLevel="0" collapsed="false">
      <c r="A9" s="110" t="s">
        <v>369</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370</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371</v>
      </c>
    </row>
    <row r="11" customFormat="false" ht="15" hidden="false" customHeight="true" outlineLevel="0" collapsed="false">
      <c r="A11" s="113" t="s">
        <v>372</v>
      </c>
    </row>
    <row r="12" customFormat="false" ht="15" hidden="false" customHeight="true" outlineLevel="0" collapsed="false">
      <c r="A12" s="110" t="s">
        <v>373</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374</v>
      </c>
    </row>
    <row r="13" customFormat="false" ht="15" hidden="false" customHeight="true" outlineLevel="0" collapsed="false">
      <c r="A13" s="110" t="s">
        <v>375</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376</v>
      </c>
    </row>
    <row r="14" customFormat="false" ht="15" hidden="false" customHeight="true" outlineLevel="0" collapsed="false">
      <c r="A14" s="110" t="s">
        <v>377</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378</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379</v>
      </c>
    </row>
    <row r="16" customFormat="false" ht="15" hidden="false" customHeight="true" outlineLevel="0" collapsed="false">
      <c r="A16" s="110" t="s">
        <v>380</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381</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382</v>
      </c>
    </row>
    <row r="18" customFormat="false" ht="15" hidden="false" customHeight="true" outlineLevel="0" collapsed="false">
      <c r="A18" s="118" t="s">
        <v>383</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384</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393</v>
      </c>
      <c r="D29" s="111" t="s">
        <v>361</v>
      </c>
      <c r="E29" s="111" t="s">
        <v>392</v>
      </c>
      <c r="F29" s="111" t="s">
        <v>393</v>
      </c>
      <c r="G29" s="111" t="s">
        <v>361</v>
      </c>
      <c r="H29" s="111" t="s">
        <v>392</v>
      </c>
      <c r="I29" s="111" t="s">
        <v>393</v>
      </c>
      <c r="J29" s="111" t="s">
        <v>361</v>
      </c>
      <c r="K29" s="111" t="s">
        <v>392</v>
      </c>
      <c r="L29" s="111" t="s">
        <v>393</v>
      </c>
      <c r="M29" s="111" t="s">
        <v>361</v>
      </c>
      <c r="N29" s="111" t="s">
        <v>392</v>
      </c>
      <c r="O29" s="111" t="s">
        <v>393</v>
      </c>
      <c r="P29" s="111" t="s">
        <v>361</v>
      </c>
      <c r="Q29" s="111" t="s">
        <v>392</v>
      </c>
      <c r="R29" s="111" t="s">
        <v>393</v>
      </c>
      <c r="S29" s="111" t="s">
        <v>361</v>
      </c>
      <c r="T29" s="111" t="s">
        <v>392</v>
      </c>
      <c r="U29" s="111" t="s">
        <v>393</v>
      </c>
      <c r="V29" s="111" t="s">
        <v>361</v>
      </c>
      <c r="W29" s="111" t="s">
        <v>392</v>
      </c>
      <c r="X29" s="111" t="s">
        <v>393</v>
      </c>
      <c r="Y29" s="111" t="s">
        <v>361</v>
      </c>
      <c r="Z29" s="111" t="s">
        <v>392</v>
      </c>
      <c r="AA29" s="111" t="s">
        <v>393</v>
      </c>
      <c r="AB29" s="111" t="s">
        <v>361</v>
      </c>
      <c r="AC29" s="111" t="s">
        <v>392</v>
      </c>
      <c r="AD29" s="111" t="s">
        <v>393</v>
      </c>
      <c r="AE29" s="111" t="s">
        <v>361</v>
      </c>
      <c r="AF29" s="111" t="s">
        <v>392</v>
      </c>
      <c r="AG29" s="111" t="s">
        <v>393</v>
      </c>
      <c r="AH29" s="111" t="s">
        <v>361</v>
      </c>
      <c r="AI29" s="111" t="s">
        <v>392</v>
      </c>
      <c r="AJ29" s="111" t="s">
        <v>393</v>
      </c>
      <c r="AK29" s="111" t="s">
        <v>361</v>
      </c>
      <c r="AL29" s="111" t="s">
        <v>392</v>
      </c>
      <c r="AM29" s="111" t="s">
        <v>393</v>
      </c>
      <c r="AN29" s="111" t="s">
        <v>361</v>
      </c>
      <c r="AP29" s="112" t="s">
        <v>394</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396</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397</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398</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399</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400</v>
      </c>
    </row>
    <row r="39" customFormat="false" ht="15" hidden="false" customHeight="true" outlineLevel="0" collapsed="false">
      <c r="A39" s="110" t="s">
        <v>401</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402</v>
      </c>
    </row>
    <row r="40" customFormat="false" ht="15" hidden="false" customHeight="true" outlineLevel="0" collapsed="false">
      <c r="A40" s="110" t="s">
        <v>403</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404</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405</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406</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407</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408</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409</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410</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411</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412</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413</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414</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415</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416</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417</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418</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419</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420</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421</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422</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423</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424</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426</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427</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428</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429</v>
      </c>
    </row>
    <row r="95" customFormat="false" ht="15" hidden="true" customHeight="true" outlineLevel="1" collapsed="false">
      <c r="A95" s="110" t="s">
        <v>349</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350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351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352</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430</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431</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432</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433</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434</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435</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436</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437</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438</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439</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440</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441</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442</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443</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444</v>
      </c>
    </row>
    <row r="137" customFormat="false" ht="15" hidden="false" customHeight="true" outlineLevel="0" collapsed="false">
      <c r="A137" s="110" t="s">
        <v>353</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445</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446</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449</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c r="AP142" s="115" t="s">
        <v>452</v>
      </c>
    </row>
    <row r="143" customFormat="false" ht="15" hidden="false" customHeight="true" outlineLevel="0" collapsed="false">
      <c r="A143" s="118" t="s">
        <v>453</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454</v>
      </c>
    </row>
    <row r="146" customFormat="false" ht="13.5" hidden="false" customHeight="true" outlineLevel="0" collapsed="false">
      <c r="A146" s="94" t="s">
        <v>455</v>
      </c>
    </row>
    <row r="147" customFormat="false" ht="13.5" hidden="false" customHeight="true" outlineLevel="0" collapsed="false">
      <c r="A147" s="72" t="s">
        <v>456</v>
      </c>
    </row>
    <row r="148" customFormat="false" ht="30" hidden="false" customHeight="true" outlineLevel="0" collapsed="false">
      <c r="A148" s="124" t="s">
        <v>457</v>
      </c>
      <c r="B148" s="124" t="s">
        <v>458</v>
      </c>
      <c r="C148" s="124" t="s">
        <v>459</v>
      </c>
      <c r="D148" s="124" t="s">
        <v>361</v>
      </c>
      <c r="E148" s="124" t="s">
        <v>460</v>
      </c>
      <c r="F148" s="124" t="s">
        <v>461</v>
      </c>
      <c r="G148" s="124" t="s">
        <v>361</v>
      </c>
      <c r="H148" s="124" t="s">
        <v>462</v>
      </c>
      <c r="I148" s="124" t="s">
        <v>463</v>
      </c>
      <c r="J148" s="124" t="s">
        <v>464</v>
      </c>
      <c r="K148" s="124" t="s">
        <v>465</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466</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467</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468</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469</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470</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471</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472</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473</v>
      </c>
    </row>
    <row r="157" customFormat="false" ht="13.5" hidden="false" customHeight="true" outlineLevel="0" collapsed="false">
      <c r="A157" s="125" t="s">
        <v>474</v>
      </c>
      <c r="B157" s="126" t="n">
        <v>0</v>
      </c>
      <c r="C157" s="126" t="n">
        <v>0</v>
      </c>
      <c r="D157" s="126" t="n">
        <v>0</v>
      </c>
      <c r="E157" s="126" t="n">
        <v>0</v>
      </c>
      <c r="F157" s="126" t="n">
        <v>0</v>
      </c>
      <c r="G157" s="126" t="n">
        <v>0</v>
      </c>
      <c r="H157" s="126" t="n">
        <v>-200</v>
      </c>
      <c r="I157" s="126" t="n">
        <v>-1966.5</v>
      </c>
      <c r="J157" s="126" t="n">
        <v>-2166.5</v>
      </c>
      <c r="K157" s="125" t="s">
        <v>475</v>
      </c>
    </row>
    <row r="158" customFormat="false" ht="13.5" hidden="false" customHeight="true" outlineLevel="0" collapsed="false">
      <c r="A158" s="94" t="s">
        <v>476</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477</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customHeight="false"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478</v>
      </c>
    </row>
    <row r="2" customFormat="false" ht="15" hidden="false" customHeight="true" outlineLevel="0" collapsed="false">
      <c r="A2" s="72" t="s">
        <v>479</v>
      </c>
    </row>
    <row r="3" customFormat="false" ht="15" hidden="false" customHeight="true" outlineLevel="0" collapsed="false">
      <c r="A3" s="110"/>
    </row>
    <row r="4" customFormat="false" ht="19.5" hidden="false" customHeight="true" outlineLevel="0" collapsed="false">
      <c r="A4" s="94" t="s">
        <v>480</v>
      </c>
    </row>
    <row r="5" customFormat="false" ht="15" hidden="false" customHeight="true" outlineLevel="0" collapsed="false">
      <c r="A5" s="72" t="s">
        <v>481</v>
      </c>
    </row>
    <row r="6" customFormat="false" ht="15" hidden="false" customHeight="true" outlineLevel="0" collapsed="false">
      <c r="A6" s="111"/>
      <c r="B6" s="111" t="s">
        <v>482</v>
      </c>
      <c r="C6" s="111" t="s">
        <v>360</v>
      </c>
      <c r="D6" s="111" t="s">
        <v>361</v>
      </c>
      <c r="E6" s="111" t="s">
        <v>483</v>
      </c>
      <c r="F6" s="111" t="s">
        <v>363</v>
      </c>
      <c r="G6" s="111" t="s">
        <v>364</v>
      </c>
    </row>
    <row r="7" customFormat="false" ht="15" hidden="false" customHeight="true" outlineLevel="0" collapsed="false">
      <c r="A7" s="113" t="s">
        <v>366</v>
      </c>
    </row>
    <row r="8" customFormat="false" ht="15" hidden="false" customHeight="true" outlineLevel="0" collapsed="false">
      <c r="A8" s="110" t="s">
        <v>367</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369</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372</v>
      </c>
    </row>
    <row r="12" customFormat="false" ht="15" hidden="false" customHeight="true" outlineLevel="0" collapsed="false">
      <c r="A12" s="110" t="s">
        <v>373</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375</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377</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380</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383</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484</v>
      </c>
      <c r="D29" s="111" t="s">
        <v>361</v>
      </c>
      <c r="E29" s="111" t="s">
        <v>392</v>
      </c>
      <c r="F29" s="111" t="s">
        <v>484</v>
      </c>
      <c r="G29" s="111" t="s">
        <v>361</v>
      </c>
      <c r="H29" s="111" t="s">
        <v>392</v>
      </c>
      <c r="I29" s="111" t="s">
        <v>484</v>
      </c>
      <c r="J29" s="111" t="s">
        <v>361</v>
      </c>
      <c r="K29" s="111" t="s">
        <v>392</v>
      </c>
      <c r="L29" s="111" t="s">
        <v>484</v>
      </c>
      <c r="M29" s="111" t="s">
        <v>361</v>
      </c>
      <c r="N29" s="111" t="s">
        <v>392</v>
      </c>
      <c r="O29" s="111" t="s">
        <v>484</v>
      </c>
      <c r="P29" s="111" t="s">
        <v>361</v>
      </c>
      <c r="Q29" s="111" t="s">
        <v>392</v>
      </c>
      <c r="R29" s="111" t="s">
        <v>484</v>
      </c>
      <c r="S29" s="111" t="s">
        <v>361</v>
      </c>
      <c r="T29" s="111" t="s">
        <v>392</v>
      </c>
      <c r="U29" s="111" t="s">
        <v>484</v>
      </c>
      <c r="V29" s="111" t="s">
        <v>361</v>
      </c>
      <c r="W29" s="111" t="s">
        <v>392</v>
      </c>
      <c r="X29" s="111" t="s">
        <v>484</v>
      </c>
      <c r="Y29" s="111" t="s">
        <v>361</v>
      </c>
      <c r="Z29" s="111" t="s">
        <v>392</v>
      </c>
      <c r="AA29" s="111" t="s">
        <v>484</v>
      </c>
      <c r="AB29" s="111" t="s">
        <v>361</v>
      </c>
      <c r="AC29" s="111" t="s">
        <v>392</v>
      </c>
      <c r="AD29" s="111" t="s">
        <v>484</v>
      </c>
      <c r="AE29" s="111" t="s">
        <v>361</v>
      </c>
      <c r="AF29" s="111" t="s">
        <v>392</v>
      </c>
      <c r="AG29" s="111" t="s">
        <v>484</v>
      </c>
      <c r="AH29" s="111" t="s">
        <v>361</v>
      </c>
      <c r="AI29" s="111" t="s">
        <v>392</v>
      </c>
      <c r="AJ29" s="111" t="s">
        <v>484</v>
      </c>
      <c r="AK29" s="111" t="s">
        <v>361</v>
      </c>
      <c r="AL29" s="111" t="s">
        <v>392</v>
      </c>
      <c r="AM29" s="111" t="s">
        <v>484</v>
      </c>
      <c r="AN29" s="111" t="s">
        <v>361</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401</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403</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349</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350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351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352</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353</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row>
    <row r="143" customFormat="false" ht="15" hidden="false" customHeight="true" outlineLevel="0" collapsed="false">
      <c r="A143" s="118" t="s">
        <v>453</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485</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393</v>
      </c>
      <c r="C5" s="130" t="s">
        <v>392</v>
      </c>
      <c r="D5" s="130" t="s">
        <v>500</v>
      </c>
      <c r="E5" s="130" t="s">
        <v>501</v>
      </c>
      <c r="F5" s="130" t="s">
        <v>393</v>
      </c>
      <c r="G5" s="130" t="s">
        <v>392</v>
      </c>
      <c r="H5" s="130" t="s">
        <v>500</v>
      </c>
      <c r="I5" s="130" t="s">
        <v>501</v>
      </c>
      <c r="J5" s="130" t="s">
        <v>393</v>
      </c>
      <c r="K5" s="130" t="s">
        <v>392</v>
      </c>
      <c r="L5" s="130" t="s">
        <v>500</v>
      </c>
      <c r="M5" s="130" t="s">
        <v>501</v>
      </c>
      <c r="N5" s="130" t="s">
        <v>393</v>
      </c>
      <c r="O5" s="130" t="s">
        <v>392</v>
      </c>
      <c r="P5" s="130" t="s">
        <v>500</v>
      </c>
      <c r="Q5" s="130" t="s">
        <v>501</v>
      </c>
      <c r="R5" s="130" t="s">
        <v>393</v>
      </c>
      <c r="S5" s="130" t="s">
        <v>392</v>
      </c>
      <c r="T5" s="130" t="s">
        <v>500</v>
      </c>
      <c r="U5" s="130" t="s">
        <v>501</v>
      </c>
      <c r="V5" s="130" t="s">
        <v>393</v>
      </c>
      <c r="W5" s="130" t="s">
        <v>392</v>
      </c>
      <c r="X5" s="130" t="s">
        <v>500</v>
      </c>
      <c r="Y5" s="130" t="s">
        <v>501</v>
      </c>
      <c r="Z5" s="130" t="s">
        <v>393</v>
      </c>
      <c r="AA5" s="130" t="s">
        <v>392</v>
      </c>
      <c r="AB5" s="130" t="s">
        <v>500</v>
      </c>
      <c r="AC5" s="130" t="s">
        <v>501</v>
      </c>
      <c r="AD5" s="130" t="s">
        <v>393</v>
      </c>
      <c r="AE5" s="130" t="s">
        <v>392</v>
      </c>
      <c r="AF5" s="130" t="s">
        <v>500</v>
      </c>
      <c r="AG5" s="130" t="s">
        <v>501</v>
      </c>
      <c r="AH5" s="130" t="s">
        <v>393</v>
      </c>
      <c r="AI5" s="130" t="s">
        <v>392</v>
      </c>
      <c r="AJ5" s="130" t="s">
        <v>500</v>
      </c>
      <c r="AK5" s="130" t="s">
        <v>501</v>
      </c>
      <c r="AL5" s="130" t="s">
        <v>393</v>
      </c>
      <c r="AM5" s="130" t="s">
        <v>392</v>
      </c>
      <c r="AN5" s="130" t="s">
        <v>500</v>
      </c>
      <c r="AO5" s="130" t="s">
        <v>501</v>
      </c>
      <c r="AP5" s="130" t="s">
        <v>393</v>
      </c>
      <c r="AQ5" s="130" t="s">
        <v>392</v>
      </c>
      <c r="AR5" s="130" t="s">
        <v>500</v>
      </c>
      <c r="AS5" s="130" t="s">
        <v>501</v>
      </c>
      <c r="AT5" s="130" t="s">
        <v>393</v>
      </c>
      <c r="AU5" s="130" t="s">
        <v>392</v>
      </c>
      <c r="AV5" s="130" t="s">
        <v>500</v>
      </c>
      <c r="AW5" s="130" t="s">
        <v>501</v>
      </c>
      <c r="AX5" s="131" t="s">
        <v>362</v>
      </c>
      <c r="AY5" s="131" t="s">
        <v>363</v>
      </c>
      <c r="AZ5" s="131" t="s">
        <v>502</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401</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403</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503</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504</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349</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350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351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352</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506</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484</v>
      </c>
      <c r="C5" s="130" t="s">
        <v>392</v>
      </c>
      <c r="D5" s="130" t="s">
        <v>500</v>
      </c>
      <c r="E5" s="130" t="s">
        <v>501</v>
      </c>
      <c r="F5" s="130" t="s">
        <v>484</v>
      </c>
      <c r="G5" s="130" t="s">
        <v>392</v>
      </c>
      <c r="H5" s="130" t="s">
        <v>500</v>
      </c>
      <c r="I5" s="130" t="s">
        <v>501</v>
      </c>
      <c r="J5" s="130" t="s">
        <v>484</v>
      </c>
      <c r="K5" s="130" t="s">
        <v>392</v>
      </c>
      <c r="L5" s="130" t="s">
        <v>500</v>
      </c>
      <c r="M5" s="130" t="s">
        <v>501</v>
      </c>
      <c r="N5" s="130" t="s">
        <v>484</v>
      </c>
      <c r="O5" s="130" t="s">
        <v>392</v>
      </c>
      <c r="P5" s="130" t="s">
        <v>500</v>
      </c>
      <c r="Q5" s="130" t="s">
        <v>501</v>
      </c>
      <c r="R5" s="130" t="s">
        <v>484</v>
      </c>
      <c r="S5" s="130" t="s">
        <v>392</v>
      </c>
      <c r="T5" s="130" t="s">
        <v>500</v>
      </c>
      <c r="U5" s="130" t="s">
        <v>501</v>
      </c>
      <c r="V5" s="130" t="s">
        <v>484</v>
      </c>
      <c r="W5" s="130" t="s">
        <v>392</v>
      </c>
      <c r="X5" s="130" t="s">
        <v>500</v>
      </c>
      <c r="Y5" s="130" t="s">
        <v>501</v>
      </c>
      <c r="Z5" s="130" t="s">
        <v>484</v>
      </c>
      <c r="AA5" s="130" t="s">
        <v>392</v>
      </c>
      <c r="AB5" s="130" t="s">
        <v>500</v>
      </c>
      <c r="AC5" s="130" t="s">
        <v>501</v>
      </c>
      <c r="AD5" s="130" t="s">
        <v>484</v>
      </c>
      <c r="AE5" s="130" t="s">
        <v>392</v>
      </c>
      <c r="AF5" s="130" t="s">
        <v>500</v>
      </c>
      <c r="AG5" s="130" t="s">
        <v>501</v>
      </c>
      <c r="AH5" s="130" t="s">
        <v>484</v>
      </c>
      <c r="AI5" s="130" t="s">
        <v>392</v>
      </c>
      <c r="AJ5" s="130" t="s">
        <v>500</v>
      </c>
      <c r="AK5" s="130" t="s">
        <v>501</v>
      </c>
      <c r="AL5" s="130" t="s">
        <v>484</v>
      </c>
      <c r="AM5" s="130" t="s">
        <v>392</v>
      </c>
      <c r="AN5" s="130" t="s">
        <v>500</v>
      </c>
      <c r="AO5" s="130" t="s">
        <v>501</v>
      </c>
      <c r="AP5" s="130" t="s">
        <v>484</v>
      </c>
      <c r="AQ5" s="130" t="s">
        <v>392</v>
      </c>
      <c r="AR5" s="130" t="s">
        <v>500</v>
      </c>
      <c r="AS5" s="130" t="s">
        <v>501</v>
      </c>
      <c r="AT5" s="130" t="s">
        <v>484</v>
      </c>
      <c r="AU5" s="130" t="s">
        <v>392</v>
      </c>
      <c r="AV5" s="130" t="s">
        <v>500</v>
      </c>
      <c r="AW5" s="130" t="s">
        <v>501</v>
      </c>
      <c r="AX5" s="131" t="s">
        <v>362</v>
      </c>
      <c r="AY5" s="131" t="s">
        <v>363</v>
      </c>
      <c r="AZ5" s="131" t="s">
        <v>502</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401</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403</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503</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504</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349</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350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351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352</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507</v>
      </c>
    </row>
    <row r="2" customFormat="false" ht="15" hidden="false" customHeight="true" outlineLevel="0" collapsed="false">
      <c r="A2" s="72" t="s">
        <v>508</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509</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401</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403</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504</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349</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350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351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352</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510</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511</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512</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513</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514</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515</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516</v>
      </c>
    </row>
    <row r="2" customFormat="false" ht="15" hidden="false" customHeight="true" outlineLevel="0" collapsed="false">
      <c r="A2" s="72" t="s">
        <v>517</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509</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401</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403</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504</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349</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350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351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352</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customHeight="false"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518</v>
      </c>
    </row>
    <row r="2" customFormat="false" ht="15" hidden="false" customHeight="true" outlineLevel="0" collapsed="false">
      <c r="A2" s="72" t="s">
        <v>519</v>
      </c>
    </row>
    <row r="4" customFormat="false" ht="31.5" hidden="false" customHeight="true" outlineLevel="0" collapsed="false">
      <c r="A4" s="111" t="s">
        <v>520</v>
      </c>
      <c r="B4" s="111" t="s">
        <v>521</v>
      </c>
      <c r="C4" s="111" t="s">
        <v>522</v>
      </c>
      <c r="D4" s="111" t="s">
        <v>523</v>
      </c>
      <c r="E4" s="111" t="s">
        <v>524</v>
      </c>
      <c r="F4" s="111" t="s">
        <v>525</v>
      </c>
      <c r="G4" s="111" t="s">
        <v>526</v>
      </c>
      <c r="H4" s="111" t="s">
        <v>527</v>
      </c>
      <c r="I4" s="156" t="s">
        <v>528</v>
      </c>
      <c r="J4" s="111" t="s">
        <v>529</v>
      </c>
      <c r="K4" s="111" t="s">
        <v>530</v>
      </c>
      <c r="L4" s="111" t="s">
        <v>531</v>
      </c>
      <c r="M4" s="156" t="s">
        <v>532</v>
      </c>
      <c r="N4" s="156" t="s">
        <v>533</v>
      </c>
      <c r="O4" s="156" t="s">
        <v>534</v>
      </c>
      <c r="P4" s="156" t="s">
        <v>535</v>
      </c>
      <c r="Q4" s="156" t="s">
        <v>536</v>
      </c>
      <c r="R4" s="156" t="s">
        <v>537</v>
      </c>
      <c r="S4" s="156" t="s">
        <v>538</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10285591.0395713</v>
      </c>
      <c r="C6" s="165" t="n">
        <f aca="false">(SUM(Helpers!O97:Z97)-SUM(Helpers!O96:Z96))*(Assumptions!$B$10+Assumptions!$B$12)/Assumptions!$B$9</f>
        <v>626977.35267375</v>
      </c>
      <c r="D6" s="165" t="n">
        <f aca="false">(SUM(Helpers!O97:Z97)-SUM(Helpers!O96:Z96))*Assumptions!$B$11/Assumptions!$B$9</f>
        <v>470230.736079</v>
      </c>
      <c r="E6" s="165" t="n">
        <v>0</v>
      </c>
      <c r="F6" s="166" t="n">
        <f aca="false">SUM(Helpers!O97:Z97)</f>
        <v>11382799.128324</v>
      </c>
      <c r="G6" s="165" t="n">
        <f aca="false">SUM(Helpers!O99:Z99)</f>
        <v>3384219.95738897</v>
      </c>
      <c r="H6" s="166" t="n">
        <f aca="false">SUM(Helpers!O100:Z100)</f>
        <v>391609.679964279</v>
      </c>
      <c r="I6" s="167" t="n">
        <f aca="false">-SUM(Model!N234:Y234)</f>
        <v>37973.771875</v>
      </c>
      <c r="J6" s="165" t="n">
        <f aca="false">Personnel!$C$46</f>
        <v>222000</v>
      </c>
      <c r="K6" s="168" t="n">
        <f aca="false">I6+J6</f>
        <v>259973.771875</v>
      </c>
      <c r="L6" s="169" t="n">
        <f aca="false">IFERROR(I6/K6,0)</f>
        <v>0.146067703680733</v>
      </c>
      <c r="M6" s="160" t="n">
        <f aca="false">SUM(Helpers!O101:Z101)</f>
        <v>10285591.0395713</v>
      </c>
      <c r="N6" s="160" t="n">
        <f aca="false">B6-M6</f>
        <v>0</v>
      </c>
      <c r="O6" s="160" t="n">
        <f aca="false">IFERROR(H6*M6/B6,0)</f>
        <v>391609.679964279</v>
      </c>
      <c r="P6" s="160" t="n">
        <f aca="false">H6-O6</f>
        <v>0</v>
      </c>
      <c r="Q6" s="163" t="n">
        <f aca="false">IF(N6&gt;=Assumptions!$B$86,Assumptions!$C$86,IF(N6&gt;=Assumptions!$B$85,Assumptions!$C$85,IF(N6&gt;=Assumptions!$B$84,Assumptions!$C$84,Assumptions!$C$83)))</f>
        <v>0.25</v>
      </c>
      <c r="R6" s="160" t="n">
        <f aca="false">O6*Q6*0.1</f>
        <v>9790.24199910697</v>
      </c>
      <c r="S6" s="160" t="n">
        <f aca="false">P6*0.1</f>
        <v>0</v>
      </c>
    </row>
    <row r="7" customFormat="false" ht="15" hidden="false" customHeight="true" outlineLevel="0" collapsed="false">
      <c r="A7" s="157" t="s">
        <v>270</v>
      </c>
      <c r="B7" s="158" t="n">
        <f aca="false">SUM(Helpers!AA96:AL96)</f>
        <v>4903917.71042875</v>
      </c>
      <c r="C7" s="158" t="n">
        <f aca="false">(SUM(Helpers!AA97:AL97)-SUM(Helpers!AA96:AL96))*(Assumptions!$B$10+Assumptions!$B$12)/Assumptions!$B$9</f>
        <v>417984.9017825</v>
      </c>
      <c r="D7" s="158" t="n">
        <f aca="false">(SUM(Helpers!AA97:AL97)-SUM(Helpers!AA96:AL96))*Assumptions!$B$11/Assumptions!$B$9</f>
        <v>313487.157386</v>
      </c>
      <c r="E7" s="158" t="n">
        <v>0</v>
      </c>
      <c r="F7" s="159" t="n">
        <f aca="false">SUM(Helpers!AA97:AL97)</f>
        <v>5635389.76959725</v>
      </c>
      <c r="G7" s="158" t="n">
        <f aca="false">SUM(Helpers!AA99:AL99)</f>
        <v>1045331.54731717</v>
      </c>
      <c r="H7" s="159" t="n">
        <f aca="false">SUM(Helpers!AA100:AL100)</f>
        <v>195564.318111058</v>
      </c>
      <c r="I7" s="160" t="n">
        <f aca="false">-SUM(Model!Z234:AK234)</f>
        <v>-0</v>
      </c>
      <c r="J7" s="158" t="n">
        <f aca="false">Personnel!$C$46</f>
        <v>222000</v>
      </c>
      <c r="K7" s="161" t="n">
        <f aca="false">I7+J7</f>
        <v>222000</v>
      </c>
      <c r="L7" s="162" t="n">
        <f aca="false">IFERROR(I7/K7,0)</f>
        <v>-0</v>
      </c>
      <c r="M7" s="160" t="n">
        <f aca="false">SUM(Helpers!AA101:AL101)</f>
        <v>4903917.71042875</v>
      </c>
      <c r="N7" s="160" t="n">
        <f aca="false">B7-M7</f>
        <v>0</v>
      </c>
      <c r="O7" s="160" t="n">
        <f aca="false">IFERROR(H7*M7/B7,0)</f>
        <v>195564.318111058</v>
      </c>
      <c r="P7" s="160" t="n">
        <f aca="false">H7-O7</f>
        <v>0</v>
      </c>
      <c r="Q7" s="163" t="n">
        <f aca="false">IF(N7&gt;=Assumptions!$B$86,Assumptions!$C$86,IF(N7&gt;=Assumptions!$B$85,Assumptions!$C$85,IF(N7&gt;=Assumptions!$B$84,Assumptions!$C$84,Assumptions!$C$83)))</f>
        <v>0.25</v>
      </c>
      <c r="R7" s="160" t="n">
        <f aca="false">O7*Q7*0.1</f>
        <v>4889.10795277645</v>
      </c>
      <c r="S7" s="160" t="n">
        <f aca="false">P7*0.1</f>
        <v>0</v>
      </c>
    </row>
    <row r="8" customFormat="false" ht="15" hidden="false" customHeight="true" outlineLevel="0" collapsed="false">
      <c r="A8" s="164" t="s">
        <v>271</v>
      </c>
      <c r="B8" s="165" t="n">
        <f aca="false">SUM(Helpers!AM96:AX96)</f>
        <v>0</v>
      </c>
      <c r="C8" s="165" t="n">
        <f aca="false">(SUM(Helpers!AM97:AX97)-SUM(Helpers!AM96:AX96))*(Assumptions!$B$10+Assumptions!$B$12)/Assumptions!$B$9</f>
        <v>0</v>
      </c>
      <c r="D8" s="165" t="n">
        <f aca="false">(SUM(Helpers!AM97:AX97)-SUM(Helpers!AM96:AX96))*Assumptions!$B$11/Assumptions!$B$9</f>
        <v>0</v>
      </c>
      <c r="E8" s="165" t="n">
        <v>0</v>
      </c>
      <c r="F8" s="166" t="n">
        <f aca="false">SUM(Helpers!AM97:AX97)</f>
        <v>0</v>
      </c>
      <c r="G8" s="165" t="n">
        <f aca="false">SUM(Helpers!AM99:AX99)</f>
        <v>-4498245.18221732</v>
      </c>
      <c r="H8" s="166" t="n">
        <f aca="false">SUM(Helpers!AM100:AX100)</f>
        <v>0</v>
      </c>
      <c r="I8" s="167" t="n">
        <f aca="false">-SUM(Model!AL234:AW234)</f>
        <v>-0</v>
      </c>
      <c r="J8" s="165" t="n">
        <f aca="false">Personnel!$C$46</f>
        <v>222000</v>
      </c>
      <c r="K8" s="168" t="n">
        <f aca="false">I8+J8</f>
        <v>222000</v>
      </c>
      <c r="L8" s="169" t="n">
        <f aca="false">IFERROR(I8/K8,0)</f>
        <v>-0</v>
      </c>
      <c r="M8" s="160" t="n">
        <f aca="false">SUM(Helpers!AM101:AX101)</f>
        <v>0</v>
      </c>
      <c r="N8" s="160" t="n">
        <f aca="false">B8-M8</f>
        <v>0</v>
      </c>
      <c r="O8" s="160" t="n">
        <f aca="false">IFERROR(H8*M8/B8,0)</f>
        <v>0</v>
      </c>
      <c r="P8" s="160" t="n">
        <f aca="false">H8-O8</f>
        <v>0</v>
      </c>
      <c r="Q8" s="163" t="n">
        <f aca="false">IF(N8&gt;=Assumptions!$B$86,Assumptions!$C$86,IF(N8&gt;=Assumptions!$B$85,Assumptions!$C$85,IF(N8&gt;=Assumptions!$B$84,Assumptions!$C$84,Assumptions!$C$83)))</f>
        <v>0.25</v>
      </c>
      <c r="R8" s="160" t="n">
        <f aca="false">O8*Q8*0.1</f>
        <v>0</v>
      </c>
      <c r="S8" s="160" t="n">
        <f aca="false">P8*0.1</f>
        <v>0</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-4919575.59886167</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539</v>
      </c>
      <c r="B13" s="170" t="n">
        <f aca="false">SUM(B5:B12)</f>
        <v>15189508.75</v>
      </c>
      <c r="C13" s="170" t="n">
        <f aca="false">SUM(C5:C12)</f>
        <v>1044962.25445625</v>
      </c>
      <c r="D13" s="170" t="n">
        <f aca="false">SUM(D5:D12)</f>
        <v>783717.893465001</v>
      </c>
      <c r="E13" s="170" t="n">
        <f aca="false">SUM(E5:E12)</f>
        <v>0</v>
      </c>
      <c r="F13" s="170" t="n">
        <f aca="false">SUM(F5:F12)</f>
        <v>17018188.8979213</v>
      </c>
      <c r="G13" s="170" t="n">
        <f aca="false">SUM(G5:G12)</f>
        <v>-17107803.6145322</v>
      </c>
      <c r="H13" s="170" t="n">
        <f aca="false">SUM(H5:H12)</f>
        <v>587173.998075337</v>
      </c>
      <c r="I13" s="171" t="n">
        <f aca="false">SUM(I5:I12)</f>
        <v>37973.771875</v>
      </c>
      <c r="J13" s="170" t="n">
        <f aca="false">SUM(J5:J12)</f>
        <v>1720500</v>
      </c>
      <c r="K13" s="170" t="n">
        <f aca="false">SUM(K5:K12)</f>
        <v>1758473.771875</v>
      </c>
      <c r="L13" s="172" t="n">
        <f aca="false">IFERROR(I13/K13,0)</f>
        <v>0.0215947331614221</v>
      </c>
      <c r="M13" s="173" t="n">
        <f aca="false">SUM(M5:M12)</f>
        <v>15189508.75</v>
      </c>
      <c r="N13" s="173" t="n">
        <f aca="false">SUM(N5:N12)</f>
        <v>0</v>
      </c>
      <c r="O13" s="173" t="n">
        <f aca="false">SUM(O5:O12)</f>
        <v>587173.998075337</v>
      </c>
      <c r="P13" s="173" t="n">
        <f aca="false">SUM(P5:P12)</f>
        <v>0</v>
      </c>
      <c r="Q13" s="174" t="n">
        <f aca="false">IFERROR(R13/O13,0)</f>
        <v>0.025</v>
      </c>
      <c r="R13" s="173" t="n">
        <f aca="false">SUM(R5:R12)</f>
        <v>14679.3499518834</v>
      </c>
      <c r="S13" s="173" t="n">
        <f aca="false">SUM(S5:S12)</f>
        <v>0</v>
      </c>
    </row>
    <row r="15" customFormat="false" ht="15" hidden="false" customHeight="true" outlineLevel="0" collapsed="false">
      <c r="A15" s="94" t="s">
        <v>200</v>
      </c>
    </row>
    <row r="16" customFormat="false" ht="15" hidden="false" customHeight="true" outlineLevel="0" collapsed="false">
      <c r="A16" s="175" t="s">
        <v>540</v>
      </c>
      <c r="B16" s="175"/>
      <c r="C16" s="175"/>
      <c r="D16" s="175"/>
      <c r="E16" s="175"/>
      <c r="F16" s="175"/>
      <c r="G16" s="175"/>
      <c r="H16" s="175"/>
    </row>
    <row r="17" customFormat="false" ht="15" hidden="false" customHeight="true" outlineLevel="0" collapsed="false">
      <c r="A17" s="175" t="s">
        <v>541</v>
      </c>
      <c r="B17" s="175"/>
      <c r="C17" s="175"/>
      <c r="D17" s="175"/>
      <c r="E17" s="175"/>
      <c r="F17" s="175"/>
      <c r="G17" s="175"/>
      <c r="H17" s="175"/>
    </row>
    <row r="18" customFormat="false" ht="15" hidden="false" customHeight="true" outlineLevel="0" collapsed="false">
      <c r="A18" s="175" t="s">
        <v>542</v>
      </c>
      <c r="B18" s="175"/>
      <c r="C18" s="175"/>
      <c r="D18" s="175"/>
      <c r="E18" s="175"/>
      <c r="F18" s="175"/>
      <c r="G18" s="175"/>
      <c r="H18" s="175"/>
    </row>
    <row r="19" customFormat="false" ht="15" hidden="false" customHeight="true" outlineLevel="0" collapsed="false">
      <c r="A19" s="175" t="s">
        <v>543</v>
      </c>
      <c r="B19" s="175"/>
      <c r="C19" s="175"/>
      <c r="D19" s="175"/>
      <c r="E19" s="175"/>
      <c r="F19" s="175"/>
      <c r="G19" s="175"/>
      <c r="H19" s="175"/>
    </row>
    <row r="20" customFormat="false" ht="15" hidden="false" customHeight="true" outlineLevel="0" collapsed="false">
      <c r="A20" s="175" t="s">
        <v>544</v>
      </c>
      <c r="B20" s="175"/>
      <c r="C20" s="175"/>
      <c r="D20" s="175"/>
      <c r="E20" s="175"/>
      <c r="F20" s="175"/>
      <c r="G20" s="175"/>
      <c r="H20" s="175"/>
    </row>
    <row r="21" customFormat="false" ht="15" hidden="false" customHeight="true" outlineLevel="0" collapsed="false">
      <c r="A21" s="72" t="s">
        <v>545</v>
      </c>
    </row>
    <row r="22" customFormat="false" ht="15" hidden="false" customHeight="true" outlineLevel="0" collapsed="false">
      <c r="A22" s="72" t="s">
        <v>546</v>
      </c>
    </row>
    <row r="23" customFormat="false" ht="15" hidden="false" customHeight="true" outlineLevel="0" collapsed="false">
      <c r="A23" s="72" t="s">
        <v>547</v>
      </c>
    </row>
    <row r="24" customFormat="false" ht="15" hidden="false" customHeight="true" outlineLevel="0" collapsed="false">
      <c r="A24" s="72" t="s">
        <v>548</v>
      </c>
    </row>
    <row r="25" customFormat="false" ht="15" hidden="false" customHeight="true" outlineLevel="0" collapsed="false">
      <c r="A25" s="72" t="s">
        <v>549</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8" activeCellId="0" sqref="D8"/>
    </sheetView>
  </sheetViews>
  <sheetFormatPr defaultColWidth="8.7109375" defaultRowHeight="13.5" customHeight="false"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550</v>
      </c>
      <c r="B1" s="44" t="s">
        <v>551</v>
      </c>
      <c r="C1" s="44" t="s">
        <v>552</v>
      </c>
      <c r="D1" s="44" t="s">
        <v>553</v>
      </c>
      <c r="E1" s="44" t="s">
        <v>554</v>
      </c>
      <c r="F1" s="44" t="s">
        <v>555</v>
      </c>
      <c r="G1" s="44" t="s">
        <v>556</v>
      </c>
      <c r="H1" s="44" t="s">
        <v>557</v>
      </c>
      <c r="I1" s="44" t="s">
        <v>558</v>
      </c>
      <c r="J1" s="44" t="s">
        <v>559</v>
      </c>
      <c r="K1" s="44" t="s">
        <v>560</v>
      </c>
      <c r="L1" s="44" t="s">
        <v>561</v>
      </c>
      <c r="N1" s="44" t="s">
        <v>562</v>
      </c>
      <c r="O1" s="44" t="s">
        <v>563</v>
      </c>
      <c r="P1" s="44" t="s">
        <v>564</v>
      </c>
      <c r="Q1" s="44" t="s">
        <v>565</v>
      </c>
      <c r="R1" s="44" t="s">
        <v>566</v>
      </c>
      <c r="S1" s="44" t="s">
        <v>567</v>
      </c>
      <c r="T1" s="44" t="s">
        <v>568</v>
      </c>
      <c r="V1" s="1" t="s">
        <v>569</v>
      </c>
      <c r="W1" s="176" t="s">
        <v>570</v>
      </c>
    </row>
    <row r="2" customFormat="false" ht="15" hidden="false" customHeight="true" outlineLevel="0" collapsed="false">
      <c r="A2" s="177" t="s">
        <v>7</v>
      </c>
      <c r="B2" s="178" t="n">
        <v>7126075</v>
      </c>
      <c r="C2" s="179" t="n">
        <v>1</v>
      </c>
      <c r="D2" s="179" t="n">
        <v>8</v>
      </c>
      <c r="E2" s="179" t="n">
        <v>2</v>
      </c>
      <c r="F2" s="179" t="s">
        <v>571</v>
      </c>
      <c r="G2" s="179" t="s">
        <v>572</v>
      </c>
      <c r="H2" s="179" t="n">
        <v>0</v>
      </c>
      <c r="I2" s="180" t="n">
        <f aca="false">IF(H2=1,Assumptions!$B$16,IF(H2=2,Assumptions!$B$17,0))</f>
        <v>0</v>
      </c>
      <c r="J2" s="179" t="s">
        <v>571</v>
      </c>
      <c r="K2" s="179" t="s">
        <v>571</v>
      </c>
      <c r="L2" s="179" t="s">
        <v>573</v>
      </c>
      <c r="N2" s="178" t="n">
        <v>194932</v>
      </c>
      <c r="O2" s="178" t="n">
        <f aca="false">B2*Assumptions!$B$11</f>
        <v>367676.9657</v>
      </c>
      <c r="P2" s="178" t="n">
        <v>46323</v>
      </c>
      <c r="Q2" s="178" t="n">
        <f aca="false">N2+O2+P2</f>
        <v>608931.9657</v>
      </c>
      <c r="R2" s="178" t="n">
        <f aca="false">Q2*0.05</f>
        <v>30446.598285</v>
      </c>
      <c r="S2" s="177" t="n">
        <f aca="false">C2+D2-1</f>
        <v>8</v>
      </c>
      <c r="T2" s="181"/>
      <c r="V2" s="1" t="s">
        <v>574</v>
      </c>
      <c r="W2" s="182" t="n">
        <f aca="false">C2+D2-1</f>
        <v>8</v>
      </c>
    </row>
    <row r="3" customFormat="false" ht="15" hidden="false" customHeight="true" outlineLevel="0" collapsed="false">
      <c r="A3" s="177" t="s">
        <v>8</v>
      </c>
      <c r="B3" s="178" t="n">
        <v>20176449</v>
      </c>
      <c r="C3" s="179" t="n">
        <v>1</v>
      </c>
      <c r="D3" s="179"/>
      <c r="E3" s="179"/>
      <c r="F3" s="179" t="s">
        <v>571</v>
      </c>
      <c r="G3" s="179" t="s">
        <v>572</v>
      </c>
      <c r="H3" s="179" t="n">
        <v>0</v>
      </c>
      <c r="I3" s="180" t="n">
        <f aca="false">IF(H3=1,Assumptions!$B$16,IF(H3=2,Assumptions!$B$17,0))</f>
        <v>0</v>
      </c>
      <c r="J3" s="179" t="s">
        <v>571</v>
      </c>
      <c r="K3" s="179" t="s">
        <v>571</v>
      </c>
      <c r="L3" s="179" t="s">
        <v>573</v>
      </c>
      <c r="N3" s="178" t="n">
        <v>888067</v>
      </c>
      <c r="O3" s="178" t="n">
        <f aca="false">B3*Assumptions!$B$11</f>
        <v>1041024.062604</v>
      </c>
      <c r="P3" s="178" t="n">
        <v>176626</v>
      </c>
      <c r="Q3" s="178" t="n">
        <f aca="false">N3+O3+P3</f>
        <v>2105717.062604</v>
      </c>
      <c r="R3" s="178" t="n">
        <f aca="false">Q3*0.05</f>
        <v>105285.8531302</v>
      </c>
      <c r="S3" s="177" t="n">
        <f aca="false">C3+D3-1</f>
        <v>0</v>
      </c>
      <c r="T3" s="181"/>
      <c r="V3" s="1" t="s">
        <v>575</v>
      </c>
      <c r="W3" s="182" t="n">
        <v>18</v>
      </c>
    </row>
    <row r="4" customFormat="false" ht="15" hidden="false" customHeight="true" outlineLevel="0" collapsed="false">
      <c r="A4" s="177" t="s">
        <v>9</v>
      </c>
      <c r="B4" s="178" t="n">
        <v>11929880</v>
      </c>
      <c r="C4" s="179" t="n">
        <v>1</v>
      </c>
      <c r="D4" s="179"/>
      <c r="E4" s="179"/>
      <c r="F4" s="179" t="s">
        <v>572</v>
      </c>
      <c r="G4" s="179" t="s">
        <v>572</v>
      </c>
      <c r="H4" s="179" t="n">
        <v>1</v>
      </c>
      <c r="I4" s="180" t="n">
        <f aca="false">IF(H4=1,Assumptions!$B$16,IF(H4=2,Assumptions!$B$17,0))</f>
        <v>0.0074</v>
      </c>
      <c r="J4" s="179" t="s">
        <v>571</v>
      </c>
      <c r="K4" s="179" t="s">
        <v>572</v>
      </c>
      <c r="L4" s="179" t="s">
        <v>576</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572</v>
      </c>
      <c r="G5" s="179" t="s">
        <v>572</v>
      </c>
      <c r="H5" s="179" t="n">
        <v>1</v>
      </c>
      <c r="I5" s="180" t="n">
        <f aca="false">IF(H5=1,Assumptions!$B$16,IF(H5=2,Assumptions!$B$17,0))</f>
        <v>0.0074</v>
      </c>
      <c r="J5" s="179" t="s">
        <v>571</v>
      </c>
      <c r="K5" s="179" t="s">
        <v>572</v>
      </c>
      <c r="L5" s="179" t="s">
        <v>576</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571</v>
      </c>
      <c r="G6" s="179" t="s">
        <v>572</v>
      </c>
      <c r="H6" s="179" t="n">
        <v>0</v>
      </c>
      <c r="I6" s="180" t="n">
        <f aca="false">IF(H6=1,Assumptions!$B$16,IF(H6=2,Assumptions!$B$17,0))</f>
        <v>0</v>
      </c>
      <c r="J6" s="179" t="s">
        <v>571</v>
      </c>
      <c r="K6" s="179" t="s">
        <v>572</v>
      </c>
      <c r="L6" s="179" t="s">
        <v>576</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572</v>
      </c>
      <c r="G7" s="179" t="s">
        <v>572</v>
      </c>
      <c r="H7" s="179" t="n">
        <v>1</v>
      </c>
      <c r="I7" s="180" t="n">
        <f aca="false">Assumptions!$B$18</f>
        <v>0.00725158134079107</v>
      </c>
      <c r="J7" s="179" t="s">
        <v>572</v>
      </c>
      <c r="K7" s="179" t="s">
        <v>572</v>
      </c>
      <c r="L7" s="179" t="s">
        <v>573</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572</v>
      </c>
      <c r="G8" s="179" t="s">
        <v>572</v>
      </c>
      <c r="H8" s="179" t="n">
        <v>1</v>
      </c>
      <c r="I8" s="180" t="n">
        <f aca="false">Assumptions!$B$18</f>
        <v>0.00725158134079107</v>
      </c>
      <c r="J8" s="179" t="s">
        <v>571</v>
      </c>
      <c r="K8" s="179" t="s">
        <v>572</v>
      </c>
      <c r="L8" s="179" t="s">
        <v>576</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572</v>
      </c>
      <c r="G9" s="179" t="s">
        <v>572</v>
      </c>
      <c r="H9" s="179" t="n">
        <v>1</v>
      </c>
      <c r="I9" s="180" t="n">
        <v>0</v>
      </c>
      <c r="J9" s="179" t="s">
        <v>571</v>
      </c>
      <c r="K9" s="179" t="s">
        <v>572</v>
      </c>
      <c r="L9" s="179" t="s">
        <v>576</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572</v>
      </c>
      <c r="G10" s="179" t="s">
        <v>572</v>
      </c>
      <c r="H10" s="179" t="n">
        <v>2</v>
      </c>
      <c r="I10" s="180" t="n">
        <f aca="false">IF(H10=1,Assumptions!$B$16,IF(H10=2,Assumptions!$B$17,0))</f>
        <v>0.0325</v>
      </c>
      <c r="J10" s="179" t="s">
        <v>571</v>
      </c>
      <c r="K10" s="179" t="s">
        <v>572</v>
      </c>
      <c r="L10" s="179" t="s">
        <v>576</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571</v>
      </c>
      <c r="G11" s="179" t="s">
        <v>572</v>
      </c>
      <c r="H11" s="179" t="n">
        <v>0</v>
      </c>
      <c r="I11" s="180" t="n">
        <f aca="false">IF(H11=1,Assumptions!$B$16,IF(H11=2,Assumptions!$B$17,0))</f>
        <v>0</v>
      </c>
      <c r="J11" s="179" t="s">
        <v>571</v>
      </c>
      <c r="K11" s="179" t="s">
        <v>571</v>
      </c>
      <c r="L11" s="179" t="s">
        <v>573</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571</v>
      </c>
      <c r="G12" s="179" t="s">
        <v>572</v>
      </c>
      <c r="H12" s="179" t="n">
        <v>0</v>
      </c>
      <c r="I12" s="180" t="n">
        <f aca="false">IF(H12=1,Assumptions!$B$16,IF(H12=2,Assumptions!$B$17,0))</f>
        <v>0</v>
      </c>
      <c r="J12" s="179" t="s">
        <v>571</v>
      </c>
      <c r="K12" s="179" t="s">
        <v>571</v>
      </c>
      <c r="L12" s="179" t="s">
        <v>573</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572</v>
      </c>
      <c r="G13" s="179" t="s">
        <v>571</v>
      </c>
      <c r="H13" s="179" t="n">
        <v>2</v>
      </c>
      <c r="I13" s="180" t="n">
        <f aca="false">IF(H13=1,Assumptions!$B$16,IF(H13=2,Assumptions!$B$17,0))</f>
        <v>0.0325</v>
      </c>
      <c r="J13" s="179" t="s">
        <v>572</v>
      </c>
      <c r="K13" s="179" t="s">
        <v>572</v>
      </c>
      <c r="L13" s="179" t="s">
        <v>573</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572</v>
      </c>
      <c r="G14" s="179" t="s">
        <v>571</v>
      </c>
      <c r="H14" s="179" t="n">
        <v>2</v>
      </c>
      <c r="I14" s="180" t="n">
        <f aca="false">IF(H14=1,Assumptions!$B$16,IF(H14=2,Assumptions!$B$17,0))</f>
        <v>0.0325</v>
      </c>
      <c r="J14" s="179" t="s">
        <v>572</v>
      </c>
      <c r="K14" s="179" t="s">
        <v>572</v>
      </c>
      <c r="L14" s="179" t="s">
        <v>573</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577</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572</v>
      </c>
      <c r="G17" s="179" t="s">
        <v>571</v>
      </c>
      <c r="H17" s="179" t="n">
        <v>2</v>
      </c>
      <c r="I17" s="180" t="n">
        <f aca="false">IF(H17=1,Assumptions!$B$16,IF(H17=2,Assumptions!$B$17,0))</f>
        <v>0.0325</v>
      </c>
      <c r="J17" s="179" t="s">
        <v>571</v>
      </c>
      <c r="K17" s="179" t="s">
        <v>571</v>
      </c>
      <c r="L17" s="179" t="s">
        <v>573</v>
      </c>
      <c r="M17" s="184" t="s">
        <v>572</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572</v>
      </c>
      <c r="G18" s="179" t="s">
        <v>571</v>
      </c>
      <c r="H18" s="179" t="n">
        <v>2</v>
      </c>
      <c r="I18" s="180" t="n">
        <f aca="false">IF(H18=1,Assumptions!$B$16,IF(H18=2,Assumptions!$B$17,0))</f>
        <v>0.0325</v>
      </c>
      <c r="J18" s="179" t="s">
        <v>571</v>
      </c>
      <c r="K18" s="179" t="s">
        <v>571</v>
      </c>
      <c r="L18" s="179" t="s">
        <v>573</v>
      </c>
      <c r="M18" s="184" t="s">
        <v>572</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572</v>
      </c>
      <c r="G19" s="179" t="s">
        <v>571</v>
      </c>
      <c r="H19" s="179" t="n">
        <v>2</v>
      </c>
      <c r="I19" s="180" t="n">
        <f aca="false">IF(H19=1,Assumptions!$B$16,IF(H19=2,Assumptions!$B$17,0))</f>
        <v>0.0325</v>
      </c>
      <c r="J19" s="179" t="s">
        <v>571</v>
      </c>
      <c r="K19" s="179" t="s">
        <v>571</v>
      </c>
      <c r="L19" s="179" t="s">
        <v>573</v>
      </c>
      <c r="M19" s="184" t="s">
        <v>572</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571</v>
      </c>
      <c r="G20" s="179" t="s">
        <v>571</v>
      </c>
      <c r="H20" s="179" t="n">
        <v>0</v>
      </c>
      <c r="I20" s="180" t="n">
        <f aca="false">IF(H20=1,Assumptions!$B$16,IF(H20=2,Assumptions!$B$17,0))</f>
        <v>0</v>
      </c>
      <c r="J20" s="179" t="s">
        <v>571</v>
      </c>
      <c r="K20" s="179" t="s">
        <v>571</v>
      </c>
      <c r="L20" s="179" t="s">
        <v>576</v>
      </c>
      <c r="M20" s="184" t="s">
        <v>571</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578</v>
      </c>
      <c r="B21" s="178" t="n">
        <v>15189508.75</v>
      </c>
      <c r="C21" s="179" t="n">
        <v>10</v>
      </c>
      <c r="D21" s="179" t="n">
        <v>19</v>
      </c>
      <c r="E21" s="179" t="n">
        <v>3</v>
      </c>
      <c r="F21" s="179" t="s">
        <v>571</v>
      </c>
      <c r="G21" s="179" t="s">
        <v>572</v>
      </c>
      <c r="H21" s="179" t="n">
        <v>0</v>
      </c>
      <c r="I21" s="180" t="n">
        <f aca="false">IF(H21=1,Assumptions!$B$16,IF(H21=2,Assumptions!$B$17,0))</f>
        <v>0</v>
      </c>
      <c r="J21" s="179" t="s">
        <v>571</v>
      </c>
      <c r="K21" s="179" t="s">
        <v>571</v>
      </c>
      <c r="L21" s="179" t="s">
        <v>573</v>
      </c>
      <c r="M21" s="184" t="s">
        <v>572</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31</v>
      </c>
      <c r="D22" s="179" t="n">
        <v>19</v>
      </c>
      <c r="E22" s="179" t="n">
        <v>3</v>
      </c>
      <c r="F22" s="179" t="s">
        <v>571</v>
      </c>
      <c r="G22" s="179" t="s">
        <v>571</v>
      </c>
      <c r="H22" s="179" t="n">
        <v>0</v>
      </c>
      <c r="I22" s="180" t="n">
        <f aca="false">IF(H22=1,Assumptions!$B$16,IF(H22=2,Assumptions!$B$17,0))</f>
        <v>0</v>
      </c>
      <c r="J22" s="179" t="s">
        <v>571</v>
      </c>
      <c r="K22" s="179" t="s">
        <v>571</v>
      </c>
      <c r="L22" s="179" t="s">
        <v>576</v>
      </c>
      <c r="M22" s="184" t="s">
        <v>571</v>
      </c>
      <c r="N22" s="178" t="n">
        <v>730519</v>
      </c>
      <c r="O22" s="178" t="n">
        <v>730519</v>
      </c>
      <c r="P22" s="178" t="n">
        <v>243506</v>
      </c>
      <c r="Q22" s="178" t="n">
        <f aca="false">N22+O22+P22</f>
        <v>1704544</v>
      </c>
      <c r="R22" s="178" t="n">
        <f aca="false">Q22*0.05</f>
        <v>85227.2</v>
      </c>
      <c r="S22" s="177" t="n">
        <f aca="false">C22+D22-1</f>
        <v>49</v>
      </c>
      <c r="T22" s="181"/>
      <c r="W22" s="182" t="n">
        <f aca="false">C22+D22-1</f>
        <v>49</v>
      </c>
    </row>
    <row r="23" customFormat="false" ht="15" hidden="false" customHeight="true" outlineLevel="0" collapsed="false">
      <c r="A23" s="177" t="s">
        <v>26</v>
      </c>
      <c r="B23" s="178" t="n">
        <v>15000000</v>
      </c>
      <c r="C23" s="179" t="n">
        <v>34</v>
      </c>
      <c r="D23" s="179" t="n">
        <v>19</v>
      </c>
      <c r="E23" s="179" t="n">
        <v>3</v>
      </c>
      <c r="F23" s="179" t="s">
        <v>572</v>
      </c>
      <c r="G23" s="179" t="s">
        <v>571</v>
      </c>
      <c r="H23" s="179" t="n">
        <v>2</v>
      </c>
      <c r="I23" s="180" t="n">
        <f aca="false">IF(H23=1,Assumptions!$B$16,IF(H23=2,Assumptions!$B$17,0))</f>
        <v>0.0325</v>
      </c>
      <c r="J23" s="179" t="s">
        <v>571</v>
      </c>
      <c r="K23" s="179" t="s">
        <v>571</v>
      </c>
      <c r="L23" s="179" t="s">
        <v>576</v>
      </c>
      <c r="M23" s="184" t="s">
        <v>572</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571</v>
      </c>
      <c r="G24" s="179" t="s">
        <v>571</v>
      </c>
      <c r="H24" s="179" t="n">
        <v>0</v>
      </c>
      <c r="I24" s="180" t="n">
        <f aca="false">IF(H24=1,Assumptions!$B$16,IF(H24=2,Assumptions!$B$17,0))</f>
        <v>0</v>
      </c>
      <c r="J24" s="179" t="s">
        <v>571</v>
      </c>
      <c r="K24" s="179" t="s">
        <v>571</v>
      </c>
      <c r="L24" s="179" t="s">
        <v>576</v>
      </c>
      <c r="M24" s="184" t="s">
        <v>571</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571</v>
      </c>
      <c r="G25" s="179" t="s">
        <v>571</v>
      </c>
      <c r="H25" s="179" t="n">
        <v>0</v>
      </c>
      <c r="I25" s="180" t="n">
        <f aca="false">IF(H25=1,Assumptions!$B$16,IF(H25=2,Assumptions!$B$17,0))</f>
        <v>0</v>
      </c>
      <c r="J25" s="179" t="s">
        <v>571</v>
      </c>
      <c r="K25" s="179" t="s">
        <v>571</v>
      </c>
      <c r="L25" s="179" t="s">
        <v>576</v>
      </c>
      <c r="M25" s="184" t="s">
        <v>571</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571</v>
      </c>
      <c r="G26" s="179" t="s">
        <v>571</v>
      </c>
      <c r="H26" s="179" t="n">
        <v>0</v>
      </c>
      <c r="I26" s="180" t="n">
        <f aca="false">IF(H26=1,Assumptions!$B$16,IF(H26=2,Assumptions!$B$17,0))</f>
        <v>0</v>
      </c>
      <c r="J26" s="179" t="s">
        <v>571</v>
      </c>
      <c r="K26" s="179" t="s">
        <v>571</v>
      </c>
      <c r="L26" s="179" t="s">
        <v>576</v>
      </c>
      <c r="M26" s="184" t="s">
        <v>571</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571</v>
      </c>
      <c r="G27" s="179" t="s">
        <v>571</v>
      </c>
      <c r="H27" s="179" t="n">
        <v>0</v>
      </c>
      <c r="I27" s="180" t="n">
        <f aca="false">IF(H27=1,Assumptions!$B$16,IF(H27=2,Assumptions!$B$17,0))</f>
        <v>0</v>
      </c>
      <c r="J27" s="179" t="s">
        <v>571</v>
      </c>
      <c r="K27" s="179" t="s">
        <v>571</v>
      </c>
      <c r="L27" s="179" t="s">
        <v>576</v>
      </c>
      <c r="M27" s="184" t="s">
        <v>571</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572</v>
      </c>
      <c r="G28" s="179" t="s">
        <v>571</v>
      </c>
      <c r="H28" s="179" t="n">
        <v>2</v>
      </c>
      <c r="I28" s="180" t="n">
        <f aca="false">IF(H28=1,Assumptions!$B$16,IF(H28=2,Assumptions!$B$17,0))</f>
        <v>0.0325</v>
      </c>
      <c r="J28" s="179" t="s">
        <v>571</v>
      </c>
      <c r="K28" s="179" t="s">
        <v>571</v>
      </c>
      <c r="L28" s="179" t="s">
        <v>576</v>
      </c>
      <c r="M28" s="184" t="s">
        <v>572</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571</v>
      </c>
      <c r="G29" s="179" t="s">
        <v>571</v>
      </c>
      <c r="H29" s="179" t="n">
        <v>0</v>
      </c>
      <c r="I29" s="180" t="n">
        <f aca="false">IF(H29=1,Assumptions!$B$16,IF(H29=2,Assumptions!$B$17,0))</f>
        <v>0</v>
      </c>
      <c r="J29" s="179" t="s">
        <v>571</v>
      </c>
      <c r="K29" s="179" t="s">
        <v>571</v>
      </c>
      <c r="L29" s="179" t="s">
        <v>576</v>
      </c>
      <c r="M29" s="184" t="s">
        <v>571</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571</v>
      </c>
      <c r="G30" s="179" t="s">
        <v>571</v>
      </c>
      <c r="H30" s="179" t="n">
        <v>0</v>
      </c>
      <c r="I30" s="180" t="n">
        <f aca="false">IF(H30=1,Assumptions!$B$16,IF(H30=2,Assumptions!$B$17,0))</f>
        <v>0</v>
      </c>
      <c r="J30" s="179" t="s">
        <v>571</v>
      </c>
      <c r="K30" s="179" t="s">
        <v>571</v>
      </c>
      <c r="L30" s="179" t="s">
        <v>576</v>
      </c>
      <c r="M30" s="184" t="s">
        <v>571</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571</v>
      </c>
      <c r="G31" s="179" t="s">
        <v>571</v>
      </c>
      <c r="H31" s="179" t="n">
        <v>0</v>
      </c>
      <c r="I31" s="180" t="n">
        <f aca="false">IF(H31=1,Assumptions!$B$16,IF(H31=2,Assumptions!$B$17,0))</f>
        <v>0</v>
      </c>
      <c r="J31" s="179" t="s">
        <v>571</v>
      </c>
      <c r="K31" s="179" t="s">
        <v>571</v>
      </c>
      <c r="L31" s="179" t="s">
        <v>576</v>
      </c>
      <c r="M31" s="184" t="s">
        <v>571</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571</v>
      </c>
      <c r="G32" s="179" t="s">
        <v>571</v>
      </c>
      <c r="H32" s="179" t="n">
        <v>0</v>
      </c>
      <c r="I32" s="180" t="n">
        <f aca="false">IF(H32=1,Assumptions!$B$16,IF(H32=2,Assumptions!$B$17,0))</f>
        <v>0</v>
      </c>
      <c r="J32" s="179" t="s">
        <v>571</v>
      </c>
      <c r="K32" s="179" t="s">
        <v>571</v>
      </c>
      <c r="L32" s="179" t="s">
        <v>576</v>
      </c>
      <c r="M32" s="184" t="s">
        <v>571</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571</v>
      </c>
      <c r="G33" s="179" t="s">
        <v>571</v>
      </c>
      <c r="H33" s="179" t="n">
        <v>0</v>
      </c>
      <c r="I33" s="180" t="n">
        <f aca="false">IF(H33=1,Assumptions!$B$16,IF(H33=2,Assumptions!$B$17,0))</f>
        <v>0</v>
      </c>
      <c r="J33" s="179" t="s">
        <v>571</v>
      </c>
      <c r="K33" s="179" t="s">
        <v>571</v>
      </c>
      <c r="L33" s="179" t="s">
        <v>576</v>
      </c>
      <c r="M33" s="184" t="s">
        <v>571</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572</v>
      </c>
      <c r="G34" s="179" t="s">
        <v>571</v>
      </c>
      <c r="H34" s="179" t="n">
        <v>2</v>
      </c>
      <c r="I34" s="180" t="n">
        <f aca="false">IF(H34=1,Assumptions!$B$16,IF(H34=2,Assumptions!$B$17,0))</f>
        <v>0.0325</v>
      </c>
      <c r="J34" s="179" t="s">
        <v>571</v>
      </c>
      <c r="K34" s="179" t="s">
        <v>571</v>
      </c>
      <c r="L34" s="179" t="s">
        <v>576</v>
      </c>
      <c r="M34" s="184" t="s">
        <v>572</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571</v>
      </c>
      <c r="G35" s="179" t="s">
        <v>571</v>
      </c>
      <c r="H35" s="179" t="n">
        <v>0</v>
      </c>
      <c r="I35" s="180" t="n">
        <f aca="false">IF(H35=1,Assumptions!$B$16,IF(H35=2,Assumptions!$B$17,0))</f>
        <v>0</v>
      </c>
      <c r="J35" s="179" t="s">
        <v>571</v>
      </c>
      <c r="K35" s="179" t="s">
        <v>571</v>
      </c>
      <c r="L35" s="179" t="s">
        <v>576</v>
      </c>
      <c r="M35" s="184" t="s">
        <v>571</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571</v>
      </c>
      <c r="G36" s="179" t="s">
        <v>571</v>
      </c>
      <c r="H36" s="179" t="n">
        <v>0</v>
      </c>
      <c r="I36" s="180" t="n">
        <f aca="false">IF(H36=1,Assumptions!$B$16,IF(H36=2,Assumptions!$B$17,0))</f>
        <v>0</v>
      </c>
      <c r="J36" s="179" t="s">
        <v>571</v>
      </c>
      <c r="K36" s="179" t="s">
        <v>571</v>
      </c>
      <c r="L36" s="179" t="s">
        <v>576</v>
      </c>
      <c r="M36" s="184" t="s">
        <v>571</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571</v>
      </c>
      <c r="G37" s="179" t="s">
        <v>571</v>
      </c>
      <c r="H37" s="179" t="n">
        <v>0</v>
      </c>
      <c r="I37" s="180" t="n">
        <f aca="false">IF(H37=1,Assumptions!$B$16,IF(H37=2,Assumptions!$B$17,0))</f>
        <v>0</v>
      </c>
      <c r="J37" s="179" t="s">
        <v>571</v>
      </c>
      <c r="K37" s="179" t="s">
        <v>571</v>
      </c>
      <c r="L37" s="179" t="s">
        <v>576</v>
      </c>
      <c r="M37" s="184" t="s">
        <v>571</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571</v>
      </c>
      <c r="G38" s="179" t="s">
        <v>571</v>
      </c>
      <c r="H38" s="179" t="n">
        <v>0</v>
      </c>
      <c r="I38" s="180" t="n">
        <f aca="false">IF(H38=1,Assumptions!$B$16,IF(H38=2,Assumptions!$B$17,0))</f>
        <v>0</v>
      </c>
      <c r="J38" s="179" t="s">
        <v>571</v>
      </c>
      <c r="K38" s="179" t="s">
        <v>571</v>
      </c>
      <c r="L38" s="179" t="s">
        <v>576</v>
      </c>
      <c r="M38" s="184" t="s">
        <v>571</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571</v>
      </c>
      <c r="G39" s="179" t="s">
        <v>571</v>
      </c>
      <c r="H39" s="179" t="n">
        <v>0</v>
      </c>
      <c r="I39" s="180" t="n">
        <f aca="false">IF(H39=1,Assumptions!$B$16,IF(H39=2,Assumptions!$B$17,0))</f>
        <v>0</v>
      </c>
      <c r="J39" s="179" t="s">
        <v>571</v>
      </c>
      <c r="K39" s="179" t="s">
        <v>571</v>
      </c>
      <c r="L39" s="179" t="s">
        <v>576</v>
      </c>
      <c r="M39" s="184" t="s">
        <v>571</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572</v>
      </c>
      <c r="G40" s="179" t="s">
        <v>571</v>
      </c>
      <c r="H40" s="179" t="n">
        <v>2</v>
      </c>
      <c r="I40" s="180" t="n">
        <f aca="false">IF(H40=1,Assumptions!$B$16,IF(H40=2,Assumptions!$B$17,0))</f>
        <v>0.0325</v>
      </c>
      <c r="J40" s="179" t="s">
        <v>571</v>
      </c>
      <c r="K40" s="179" t="s">
        <v>571</v>
      </c>
      <c r="L40" s="179" t="s">
        <v>576</v>
      </c>
      <c r="M40" s="184" t="s">
        <v>572</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571</v>
      </c>
      <c r="G41" s="179" t="s">
        <v>571</v>
      </c>
      <c r="H41" s="179" t="n">
        <v>0</v>
      </c>
      <c r="I41" s="180" t="n">
        <f aca="false">IF(H41=1,Assumptions!$B$16,IF(H41=2,Assumptions!$B$17,0))</f>
        <v>0</v>
      </c>
      <c r="J41" s="179" t="s">
        <v>571</v>
      </c>
      <c r="K41" s="179" t="s">
        <v>571</v>
      </c>
      <c r="L41" s="179" t="s">
        <v>576</v>
      </c>
      <c r="M41" s="184" t="s">
        <v>571</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571</v>
      </c>
      <c r="G42" s="179" t="s">
        <v>571</v>
      </c>
      <c r="H42" s="179" t="n">
        <v>0</v>
      </c>
      <c r="I42" s="180" t="n">
        <f aca="false">IF(H42=1,Assumptions!$B$16,IF(H42=2,Assumptions!$B$17,0))</f>
        <v>0</v>
      </c>
      <c r="J42" s="179" t="s">
        <v>571</v>
      </c>
      <c r="K42" s="179" t="s">
        <v>571</v>
      </c>
      <c r="L42" s="179" t="s">
        <v>576</v>
      </c>
      <c r="M42" s="184" t="s">
        <v>571</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571</v>
      </c>
      <c r="G43" s="179" t="s">
        <v>571</v>
      </c>
      <c r="H43" s="179" t="n">
        <v>0</v>
      </c>
      <c r="I43" s="180" t="n">
        <f aca="false">IF(H43=1,Assumptions!$B$16,IF(H43=2,Assumptions!$B$17,0))</f>
        <v>0</v>
      </c>
      <c r="J43" s="179" t="s">
        <v>571</v>
      </c>
      <c r="K43" s="179" t="s">
        <v>571</v>
      </c>
      <c r="L43" s="179" t="s">
        <v>576</v>
      </c>
      <c r="M43" s="184" t="s">
        <v>571</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571</v>
      </c>
      <c r="G44" s="179" t="s">
        <v>571</v>
      </c>
      <c r="H44" s="179" t="n">
        <v>0</v>
      </c>
      <c r="I44" s="180" t="n">
        <f aca="false">IF(H44=1,Assumptions!$B$16,IF(H44=2,Assumptions!$B$17,0))</f>
        <v>0</v>
      </c>
      <c r="J44" s="179" t="s">
        <v>571</v>
      </c>
      <c r="K44" s="179" t="s">
        <v>571</v>
      </c>
      <c r="L44" s="179" t="s">
        <v>576</v>
      </c>
      <c r="M44" s="184" t="s">
        <v>571</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571</v>
      </c>
      <c r="G45" s="179" t="s">
        <v>571</v>
      </c>
      <c r="H45" s="179" t="n">
        <v>0</v>
      </c>
      <c r="I45" s="180" t="n">
        <f aca="false">IF(H45=1,Assumptions!$B$16,IF(H45=2,Assumptions!$B$17,0))</f>
        <v>0</v>
      </c>
      <c r="J45" s="179" t="s">
        <v>571</v>
      </c>
      <c r="K45" s="179" t="s">
        <v>571</v>
      </c>
      <c r="L45" s="179" t="s">
        <v>576</v>
      </c>
      <c r="M45" s="184" t="s">
        <v>571</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572</v>
      </c>
      <c r="G46" s="179" t="s">
        <v>571</v>
      </c>
      <c r="H46" s="179" t="n">
        <v>2</v>
      </c>
      <c r="I46" s="180" t="n">
        <f aca="false">IF(H46=1,Assumptions!$B$16,IF(H46=2,Assumptions!$B$17,0))</f>
        <v>0.0325</v>
      </c>
      <c r="J46" s="179" t="s">
        <v>571</v>
      </c>
      <c r="K46" s="179" t="s">
        <v>571</v>
      </c>
      <c r="L46" s="179" t="s">
        <v>576</v>
      </c>
      <c r="M46" s="184" t="s">
        <v>572</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579</v>
      </c>
    </row>
    <row r="2" customFormat="false" ht="15" hidden="false" customHeight="true" outlineLevel="0" collapsed="false">
      <c r="A2" s="185" t="s">
        <v>580</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550</v>
      </c>
      <c r="B5" s="111" t="s">
        <v>551</v>
      </c>
      <c r="C5" s="111" t="s">
        <v>581</v>
      </c>
      <c r="D5" s="111" t="s">
        <v>582</v>
      </c>
      <c r="E5" s="111" t="s">
        <v>583</v>
      </c>
      <c r="F5" s="111" t="s">
        <v>584</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585</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0</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str">
        <f aca="false">IF(Model!Q24=0,"",Model!Q24)</f>
        <v/>
      </c>
      <c r="T16" s="194" t="str">
        <f aca="false">IF(Model!R24=0,"",Model!R24)</f>
        <v/>
      </c>
      <c r="U16" s="194" t="str">
        <f aca="false">IF(Model!S24=0,"",Model!S24)</f>
        <v/>
      </c>
      <c r="V16" s="194" t="str">
        <f aca="false">IF(Model!T24=0,"",Model!T24)</f>
        <v/>
      </c>
      <c r="W16" s="194" t="str">
        <f aca="false">IF(Model!U24=0,"",Model!U24)</f>
        <v/>
      </c>
      <c r="X16" s="194" t="str">
        <f aca="false">IF(Model!V24=0,"",Model!V24)</f>
        <v/>
      </c>
      <c r="Y16" s="194" t="str">
        <f aca="false">IF(Model!W24=0,"",Model!W24)</f>
        <v/>
      </c>
      <c r="Z16" s="194" t="str">
        <f aca="false">IF(Model!X24=0,"",Model!X24)</f>
        <v/>
      </c>
      <c r="AA16" s="194" t="str">
        <f aca="false">IF(Model!Y24=0,"",Model!Y24)</f>
        <v/>
      </c>
      <c r="AB16" s="194" t="str">
        <f aca="false">IF(Model!Z24=0,"",Model!Z24)</f>
        <v/>
      </c>
      <c r="AC16" s="194" t="str">
        <f aca="false">IF(Model!AA24=0,"",Model!AA24)</f>
        <v/>
      </c>
      <c r="AD16" s="194" t="str">
        <f aca="false">IF(Model!AB24=0,"",Model!AB24)</f>
        <v/>
      </c>
      <c r="AE16" s="194" t="str">
        <f aca="false">IF(Model!AC24=0,"",Model!AC24)</f>
        <v/>
      </c>
      <c r="AF16" s="194" t="str">
        <f aca="false">IF(Model!AD24=0,"",Model!AD24)</f>
        <v/>
      </c>
      <c r="AG16" s="194" t="str">
        <f aca="false">IF(Model!AE24=0,"",Model!AE24)</f>
        <v/>
      </c>
      <c r="AH16" s="194" t="str">
        <f aca="false">IF(Model!AF24=0,"",Model!AF24)</f>
        <v/>
      </c>
      <c r="AI16" s="194" t="str">
        <f aca="false">IF(Model!AG24=0,"",Model!AG24)</f>
        <v/>
      </c>
      <c r="AJ16" s="194" t="str">
        <f aca="false">IF(Model!AH24=0,"",Model!AH24)</f>
        <v/>
      </c>
      <c r="AK16" s="194" t="str">
        <f aca="false">IF(Model!AI24=0,"",Model!AI24)</f>
        <v/>
      </c>
      <c r="AL16" s="194" t="str">
        <f aca="false">IF(Model!AJ24=0,"",Model!AJ24)</f>
        <v/>
      </c>
      <c r="AM16" s="194" t="str">
        <f aca="false">IF(Model!AK24=0,"",Model!AK24)</f>
        <v/>
      </c>
      <c r="AN16" s="194" t="str">
        <f aca="false">IF(Model!AL24=0,"",Model!AL24)</f>
        <v/>
      </c>
      <c r="AO16" s="194" t="str">
        <f aca="false">IF(Model!AM24=0,"",Model!AM24)</f>
        <v/>
      </c>
      <c r="AP16" s="194" t="str">
        <f aca="false">IF(Model!AN24=0,"",Model!AN24)</f>
        <v/>
      </c>
      <c r="AQ16" s="194" t="str">
        <f aca="false">IF(Model!AO24=0,"",Model!AO24)</f>
        <v/>
      </c>
      <c r="AR16" s="194" t="str">
        <f aca="false">IF(Model!AP24=0,"",Model!AP24)</f>
        <v/>
      </c>
      <c r="AS16" s="194" t="str">
        <f aca="false">IF(Model!AQ24=0,"",Model!AQ24)</f>
        <v/>
      </c>
      <c r="AT16" s="194" t="str">
        <f aca="false">IF(Model!AR24=0,"",Model!AR24)</f>
        <v/>
      </c>
      <c r="AU16" s="194" t="str">
        <f aca="false">IF(Model!AS24=0,"",Model!AS24)</f>
        <v/>
      </c>
      <c r="AV16" s="194" t="str">
        <f aca="false">IF(Model!AT24=0,"",Model!AT24)</f>
        <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0</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str">
        <f aca="false">IF(Model!AE25=0,"",Model!AE25)</f>
        <v/>
      </c>
      <c r="AH17" s="194" t="str">
        <f aca="false">IF(Model!AF25=0,"",Model!AF25)</f>
        <v/>
      </c>
      <c r="AI17" s="194" t="str">
        <f aca="false">IF(Model!AG25=0,"",Model!AG25)</f>
        <v/>
      </c>
      <c r="AJ17" s="194" t="str">
        <f aca="false">IF(Model!AH25=0,"",Model!AH25)</f>
        <v/>
      </c>
      <c r="AK17" s="194" t="str">
        <f aca="false">IF(Model!AI25=0,"",Model!AI25)</f>
        <v/>
      </c>
      <c r="AL17" s="194" t="str">
        <f aca="false">IF(Model!AJ25=0,"",Model!AJ25)</f>
        <v/>
      </c>
      <c r="AM17" s="194" t="str">
        <f aca="false">IF(Model!AK25=0,"",Model!AK25)</f>
        <v/>
      </c>
      <c r="AN17" s="194" t="str">
        <f aca="false">IF(Model!AL25=0,"",Model!AL25)</f>
        <v/>
      </c>
      <c r="AO17" s="194" t="str">
        <f aca="false">IF(Model!AM25=0,"",Model!AM25)</f>
        <v/>
      </c>
      <c r="AP17" s="194" t="str">
        <f aca="false">IF(Model!AN25=0,"",Model!AN25)</f>
        <v/>
      </c>
      <c r="AQ17" s="194" t="str">
        <f aca="false">IF(Model!AO25=0,"",Model!AO25)</f>
        <v/>
      </c>
      <c r="AR17" s="194" t="str">
        <f aca="false">IF(Model!AP25=0,"",Model!AP25)</f>
        <v/>
      </c>
      <c r="AS17" s="194" t="str">
        <f aca="false">IF(Model!AQ25=0,"",Model!AQ25)</f>
        <v/>
      </c>
      <c r="AT17" s="194" t="str">
        <f aca="false">IF(Model!AR25=0,"",Model!AR25)</f>
        <v/>
      </c>
      <c r="AU17" s="194" t="str">
        <f aca="false">IF(Model!AS25=0,"",Model!AS25)</f>
        <v/>
      </c>
      <c r="AV17" s="194" t="str">
        <f aca="false">IF(Model!AT25=0,"",Model!AT25)</f>
        <v/>
      </c>
      <c r="AW17" s="194" t="str">
        <f aca="false">IF(Model!AU25=0,"",Model!AU25)</f>
        <v/>
      </c>
      <c r="AX17" s="194" t="str">
        <f aca="false">IF(Model!AV25=0,"",Model!AV25)</f>
        <v/>
      </c>
      <c r="AY17" s="194" t="str">
        <f aca="false">IF(Model!AW25=0,"",Model!AW25)</f>
        <v/>
      </c>
      <c r="AZ17" s="194" t="str">
        <f aca="false">IF(Model!AX25=0,"",Model!AX25)</f>
        <v/>
      </c>
      <c r="BA17" s="194" t="str">
        <f aca="false">IF(Model!AY25=0,"",Model!AY25)</f>
        <v/>
      </c>
      <c r="BB17" s="194" t="str">
        <f aca="false">IF(Model!AZ25=0,"",Model!AZ25)</f>
        <v/>
      </c>
      <c r="BC17" s="194" t="str">
        <f aca="false">IF(Model!BA25=0,"",Model!BA25)</f>
        <v/>
      </c>
      <c r="BD17" s="194" t="str">
        <f aca="false">IF(Model!BB25=0,"",Model!BB25)</f>
        <v/>
      </c>
      <c r="BE17" s="194" t="str">
        <f aca="false">IF(Model!BC25=0,"",Model!BC25)</f>
        <v/>
      </c>
      <c r="BF17" s="194" t="str">
        <f aca="false">IF(Model!BD25=0,"",Model!BD25)</f>
        <v/>
      </c>
      <c r="BG17" s="194" t="str">
        <f aca="false">IF(Model!BE25=0,"",Model!BE25)</f>
        <v/>
      </c>
      <c r="BH17" s="194" t="str">
        <f aca="false">IF(Model!BF25=0,"",Model!BF25)</f>
        <v/>
      </c>
      <c r="BI17" s="194" t="str">
        <f aca="false">IF(Model!BG25=0,"",Model!BG25)</f>
        <v/>
      </c>
      <c r="BJ17" s="194" t="str">
        <f aca="false">IF(Model!BH25=0,"",Model!BH25)</f>
        <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SUM(G18:DB18)</f>
        <v>0</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str">
        <f aca="false">IF(Model!R26=0,"",Model!R26)</f>
        <v/>
      </c>
      <c r="U18" s="194" t="str">
        <f aca="false">IF(Model!S26=0,"",Model!S26)</f>
        <v/>
      </c>
      <c r="V18" s="194" t="str">
        <f aca="false">IF(Model!T26=0,"",Model!T26)</f>
        <v/>
      </c>
      <c r="W18" s="194" t="str">
        <f aca="false">IF(Model!U26=0,"",Model!U26)</f>
        <v/>
      </c>
      <c r="X18" s="194" t="str">
        <f aca="false">IF(Model!V26=0,"",Model!V26)</f>
        <v/>
      </c>
      <c r="Y18" s="194" t="str">
        <f aca="false">IF(Model!W26=0,"",Model!W26)</f>
        <v/>
      </c>
      <c r="Z18" s="194" t="str">
        <f aca="false">IF(Model!X26=0,"",Model!X26)</f>
        <v/>
      </c>
      <c r="AA18" s="194" t="str">
        <f aca="false">IF(Model!Y26=0,"",Model!Y26)</f>
        <v/>
      </c>
      <c r="AB18" s="194" t="str">
        <f aca="false">IF(Model!Z26=0,"",Model!Z26)</f>
        <v/>
      </c>
      <c r="AC18" s="194" t="str">
        <f aca="false">IF(Model!AA26=0,"",Model!AA26)</f>
        <v/>
      </c>
      <c r="AD18" s="194" t="str">
        <f aca="false">IF(Model!AB26=0,"",Model!AB26)</f>
        <v/>
      </c>
      <c r="AE18" s="194" t="str">
        <f aca="false">IF(Model!AC26=0,"",Model!AC26)</f>
        <v/>
      </c>
      <c r="AF18" s="194" t="str">
        <f aca="false">IF(Model!AD26=0,"",Model!AD26)</f>
        <v/>
      </c>
      <c r="AG18" s="194" t="str">
        <f aca="false">IF(Model!AE26=0,"",Model!AE26)</f>
        <v/>
      </c>
      <c r="AH18" s="194" t="str">
        <f aca="false">IF(Model!AF26=0,"",Model!AF26)</f>
        <v/>
      </c>
      <c r="AI18" s="194" t="str">
        <f aca="false">IF(Model!AG26=0,"",Model!AG26)</f>
        <v/>
      </c>
      <c r="AJ18" s="194" t="str">
        <f aca="false">IF(Model!AH26=0,"",Model!AH26)</f>
        <v/>
      </c>
      <c r="AK18" s="194" t="str">
        <f aca="false">IF(Model!AI26=0,"",Model!AI26)</f>
        <v/>
      </c>
      <c r="AL18" s="194" t="str">
        <f aca="false">IF(Model!AJ26=0,"",Model!AJ26)</f>
        <v/>
      </c>
      <c r="AM18" s="194" t="str">
        <f aca="false">IF(Model!AK26=0,"",Model!AK26)</f>
        <v/>
      </c>
      <c r="AN18" s="194" t="str">
        <f aca="false">IF(Model!AL26=0,"",Model!AL26)</f>
        <v/>
      </c>
      <c r="AO18" s="194" t="str">
        <f aca="false">IF(Model!AM26=0,"",Model!AM26)</f>
        <v/>
      </c>
      <c r="AP18" s="194" t="str">
        <f aca="false">IF(Model!AN26=0,"",Model!AN26)</f>
        <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SUM(G19:DB19)</f>
        <v>0</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str">
        <f aca="false">IF(Model!R27=0,"",Model!R27)</f>
        <v/>
      </c>
      <c r="U19" s="194" t="str">
        <f aca="false">IF(Model!S27=0,"",Model!S27)</f>
        <v/>
      </c>
      <c r="V19" s="194" t="str">
        <f aca="false">IF(Model!T27=0,"",Model!T27)</f>
        <v/>
      </c>
      <c r="W19" s="194" t="str">
        <f aca="false">IF(Model!U27=0,"",Model!U27)</f>
        <v/>
      </c>
      <c r="X19" s="194" t="str">
        <f aca="false">IF(Model!V27=0,"",Model!V27)</f>
        <v/>
      </c>
      <c r="Y19" s="194" t="str">
        <f aca="false">IF(Model!W27=0,"",Model!W27)</f>
        <v/>
      </c>
      <c r="Z19" s="194" t="str">
        <f aca="false">IF(Model!X27=0,"",Model!X27)</f>
        <v/>
      </c>
      <c r="AA19" s="194" t="str">
        <f aca="false">IF(Model!Y27=0,"",Model!Y27)</f>
        <v/>
      </c>
      <c r="AB19" s="194" t="str">
        <f aca="false">IF(Model!Z27=0,"",Model!Z27)</f>
        <v/>
      </c>
      <c r="AC19" s="194" t="str">
        <f aca="false">IF(Model!AA27=0,"",Model!AA27)</f>
        <v/>
      </c>
      <c r="AD19" s="194" t="str">
        <f aca="false">IF(Model!AB27=0,"",Model!AB27)</f>
        <v/>
      </c>
      <c r="AE19" s="194" t="str">
        <f aca="false">IF(Model!AC27=0,"",Model!AC27)</f>
        <v/>
      </c>
      <c r="AF19" s="194" t="str">
        <f aca="false">IF(Model!AD27=0,"",Model!AD27)</f>
        <v/>
      </c>
      <c r="AG19" s="194" t="str">
        <f aca="false">IF(Model!AE27=0,"",Model!AE27)</f>
        <v/>
      </c>
      <c r="AH19" s="194" t="str">
        <f aca="false">IF(Model!AF27=0,"",Model!AF27)</f>
        <v/>
      </c>
      <c r="AI19" s="194" t="str">
        <f aca="false">IF(Model!AG27=0,"",Model!AG27)</f>
        <v/>
      </c>
      <c r="AJ19" s="194" t="str">
        <f aca="false">IF(Model!AH27=0,"",Model!AH27)</f>
        <v/>
      </c>
      <c r="AK19" s="194" t="str">
        <f aca="false">IF(Model!AI27=0,"",Model!AI27)</f>
        <v/>
      </c>
      <c r="AL19" s="194" t="str">
        <f aca="false">IF(Model!AJ27=0,"",Model!AJ27)</f>
        <v/>
      </c>
      <c r="AM19" s="194" t="str">
        <f aca="false">IF(Model!AK27=0,"",Model!AK27)</f>
        <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SUM(G20:DB20)</f>
        <v>0</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str">
        <f aca="false">IF(Model!Q28=0,"",Model!Q28)</f>
        <v/>
      </c>
      <c r="T20" s="194" t="str">
        <f aca="false">IF(Model!R28=0,"",Model!R28)</f>
        <v/>
      </c>
      <c r="U20" s="194" t="str">
        <f aca="false">IF(Model!S28=0,"",Model!S28)</f>
        <v/>
      </c>
      <c r="V20" s="194" t="str">
        <f aca="false">IF(Model!T28=0,"",Model!T28)</f>
        <v/>
      </c>
      <c r="W20" s="194" t="str">
        <f aca="false">IF(Model!U28=0,"",Model!U28)</f>
        <v/>
      </c>
      <c r="X20" s="194" t="str">
        <f aca="false">IF(Model!V28=0,"",Model!V28)</f>
        <v/>
      </c>
      <c r="Y20" s="194" t="str">
        <f aca="false">IF(Model!W28=0,"",Model!W28)</f>
        <v/>
      </c>
      <c r="Z20" s="194" t="str">
        <f aca="false">IF(Model!X28=0,"",Model!X28)</f>
        <v/>
      </c>
      <c r="AA20" s="194" t="str">
        <f aca="false">IF(Model!Y28=0,"",Model!Y28)</f>
        <v/>
      </c>
      <c r="AB20" s="194" t="str">
        <f aca="false">IF(Model!Z28=0,"",Model!Z28)</f>
        <v/>
      </c>
      <c r="AC20" s="194" t="str">
        <f aca="false">IF(Model!AA28=0,"",Model!AA28)</f>
        <v/>
      </c>
      <c r="AD20" s="194" t="str">
        <f aca="false">IF(Model!AB28=0,"",Model!AB28)</f>
        <v/>
      </c>
      <c r="AE20" s="194" t="str">
        <f aca="false">IF(Model!AC28=0,"",Model!AC28)</f>
        <v/>
      </c>
      <c r="AF20" s="194" t="str">
        <f aca="false">IF(Model!AD28=0,"",Model!AD28)</f>
        <v/>
      </c>
      <c r="AG20" s="194" t="str">
        <f aca="false">IF(Model!AE28=0,"",Model!AE28)</f>
        <v/>
      </c>
      <c r="AH20" s="194" t="str">
        <f aca="false">IF(Model!AF28=0,"",Model!AF28)</f>
        <v/>
      </c>
      <c r="AI20" s="194" t="str">
        <f aca="false">IF(Model!AG28=0,"",Model!AG28)</f>
        <v/>
      </c>
      <c r="AJ20" s="194" t="str">
        <f aca="false">IF(Model!AH28=0,"",Model!AH28)</f>
        <v/>
      </c>
      <c r="AK20" s="194" t="str">
        <f aca="false">IF(Model!AI28=0,"",Model!AI28)</f>
        <v/>
      </c>
      <c r="AL20" s="194" t="str">
        <f aca="false">IF(Model!AJ28=0,"",Model!AJ28)</f>
        <v/>
      </c>
      <c r="AM20" s="194" t="str">
        <f aca="false">IF(Model!AK28=0,"",Model!AK28)</f>
        <v/>
      </c>
      <c r="AN20" s="194" t="str">
        <f aca="false">IF(Model!AL28=0,"",Model!AL28)</f>
        <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586</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5652213.83488249</v>
      </c>
      <c r="Q21" s="195" t="n">
        <f aca="false">SUM(Q7:Q20)+SUM(Q24:Q27)</f>
        <v>5678924.56676773</v>
      </c>
      <c r="R21" s="195" t="n">
        <f aca="false">SUM(R7:R20)+SUM(R24:R27)</f>
        <v>6369213.91179984</v>
      </c>
      <c r="S21" s="195" t="n">
        <f aca="false">SUM(S7:S20)+SUM(S24:S27)</f>
        <v>6370378.84155909</v>
      </c>
      <c r="T21" s="195" t="n">
        <f aca="false">SUM(T7:T20)+SUM(T24:T27)</f>
        <v>6349041.74106238</v>
      </c>
      <c r="U21" s="195" t="n">
        <f aca="false">SUM(U7:U20)+SUM(U24:U27)</f>
        <v>6663170.50728289</v>
      </c>
      <c r="V21" s="195" t="n">
        <f aca="false">SUM(V7:V20)+SUM(V24:V27)</f>
        <v>7605834.18209983</v>
      </c>
      <c r="W21" s="195" t="n">
        <f aca="false">SUM(W7:W20)+SUM(W24:W27)</f>
        <v>6969767.21715408</v>
      </c>
      <c r="X21" s="195" t="n">
        <f aca="false">SUM(X7:X20)+SUM(X24:X27)</f>
        <v>7423120.15407874</v>
      </c>
      <c r="Y21" s="195" t="n">
        <f aca="false">SUM(Y7:Y20)+SUM(Y24:Y27)</f>
        <v>6091533.72877329</v>
      </c>
      <c r="Z21" s="195" t="n">
        <f aca="false">SUM(Z7:Z20)+SUM(Z24:Z27)</f>
        <v>7148502.96882479</v>
      </c>
      <c r="AA21" s="195" t="n">
        <f aca="false">SUM(AA7:AA20)+SUM(AA24:AA27)</f>
        <v>5744951.27782348</v>
      </c>
      <c r="AB21" s="195" t="n">
        <f aca="false">SUM(AB7:AB20)+SUM(AB24:AB27)</f>
        <v>6315945.84685093</v>
      </c>
      <c r="AC21" s="195" t="n">
        <f aca="false">SUM(AC7:AC20)+SUM(AC24:AC27)</f>
        <v>5448072.8474083</v>
      </c>
      <c r="AD21" s="195" t="n">
        <f aca="false">SUM(AD7:AD20)+SUM(AD24:AD27)</f>
        <v>4180527.058837</v>
      </c>
      <c r="AE21" s="195" t="n">
        <f aca="false">SUM(AE7:AE20)+SUM(AE24:AE27)</f>
        <v>3197232.9318362</v>
      </c>
      <c r="AF21" s="195" t="n">
        <f aca="false">SUM(AF7:AF20)+SUM(AF24:AF27)</f>
        <v>3058912.6647247</v>
      </c>
      <c r="AG21" s="195" t="n">
        <f aca="false">SUM(AG7:AG20)+SUM(AG24:AG27)</f>
        <v>2689092.16738295</v>
      </c>
      <c r="AH21" s="195" t="n">
        <f aca="false">SUM(AH7:AH20)+SUM(AH24:AH27)</f>
        <v>2487313.31670724</v>
      </c>
      <c r="AI21" s="195" t="n">
        <f aca="false">SUM(AI7:AI20)+SUM(AI24:AI27)</f>
        <v>2843009.93982497</v>
      </c>
      <c r="AJ21" s="195" t="n">
        <f aca="false">SUM(AJ7:AJ20)+SUM(AJ24:AJ27)</f>
        <v>2461383.21598386</v>
      </c>
      <c r="AK21" s="195" t="n">
        <f aca="false">SUM(AK7:AK20)+SUM(AK24:AK27)</f>
        <v>2330268.61483886</v>
      </c>
      <c r="AL21" s="195" t="n">
        <f aca="false">SUM(AL7:AL20)+SUM(AL24:AL27)</f>
        <v>1250829.53347611</v>
      </c>
      <c r="AM21" s="195" t="n">
        <f aca="false">SUM(AM7:AM20)+SUM(AM24:AM27)</f>
        <v>866931.3</v>
      </c>
      <c r="AN21" s="195" t="n">
        <f aca="false">SUM(AN7:AN20)+SUM(AN24:AN27)</f>
        <v>968436.51</v>
      </c>
      <c r="AO21" s="195" t="n">
        <f aca="false">SUM(AO7:AO20)+SUM(AO24:AO27)</f>
        <v>1052717.22</v>
      </c>
      <c r="AP21" s="195" t="n">
        <f aca="false">SUM(AP7:AP20)+SUM(AP24:AP27)</f>
        <v>283224.47</v>
      </c>
      <c r="AQ21" s="195" t="n">
        <f aca="false">SUM(AQ7:AQ20)+SUM(AQ24:AQ27)</f>
        <v>0</v>
      </c>
      <c r="AR21" s="195" t="n">
        <f aca="false">SUM(AR7:AR20)+SUM(AR24:AR27)</f>
        <v>0</v>
      </c>
      <c r="AS21" s="195" t="n">
        <f aca="false">SUM(AS7:AS20)+SUM(AS24:AS27)</f>
        <v>0</v>
      </c>
      <c r="AT21" s="195" t="n">
        <f aca="false">SUM(AT7:AT20)+SUM(AT24:AT27)</f>
        <v>0</v>
      </c>
      <c r="AU21" s="195" t="n">
        <f aca="false">SUM(AU7:AU20)+SUM(AU24:AU27)</f>
        <v>0</v>
      </c>
      <c r="AV21" s="195" t="n">
        <f aca="false">SUM(AV7:AV20)+SUM(AV24:AV27)</f>
        <v>0</v>
      </c>
      <c r="AW21" s="195" t="n">
        <f aca="false">SUM(AW7:AW20)+SUM(AW24:AW27)</f>
        <v>0</v>
      </c>
      <c r="AX21" s="195" t="n">
        <f aca="false">SUM(AX7:AX20)+SUM(AX24:AX27)</f>
        <v>0</v>
      </c>
      <c r="AY21" s="195" t="n">
        <f aca="false">SUM(AY7:AY20)+SUM(AY24:AY27)</f>
        <v>0</v>
      </c>
      <c r="AZ21" s="195" t="n">
        <f aca="false">SUM(AZ7:AZ20)+SUM(AZ24:AZ27)</f>
        <v>0</v>
      </c>
      <c r="BA21" s="195" t="n">
        <f aca="false">SUM(BA7:BA20)+SUM(BA24:BA27)</f>
        <v>0</v>
      </c>
      <c r="BB21" s="195" t="n">
        <f aca="false">SUM(BB7:BB20)+SUM(BB24:BB27)</f>
        <v>0</v>
      </c>
      <c r="BC21" s="195" t="n">
        <f aca="false">SUM(BC7:BC20)+SUM(BC24:BC27)</f>
        <v>0</v>
      </c>
      <c r="BD21" s="195" t="n">
        <f aca="false">SUM(BD7:BD20)+SUM(BD24:BD27)</f>
        <v>0</v>
      </c>
      <c r="BE21" s="195" t="n">
        <f aca="false">SUM(BE7:BE20)+SUM(BE24:BE27)</f>
        <v>0</v>
      </c>
      <c r="BF21" s="195" t="n">
        <f aca="false">SUM(BF7:BF20)+SUM(BF24:BF27)</f>
        <v>0</v>
      </c>
      <c r="BG21" s="195" t="n">
        <f aca="false">SUM(BG7:BG20)+SUM(BG24:BG27)</f>
        <v>0</v>
      </c>
      <c r="BH21" s="195" t="n">
        <f aca="false">SUM(BH7:BH20)+SUM(BH24:BH27)</f>
        <v>0</v>
      </c>
      <c r="BI21" s="195" t="n">
        <f aca="false">SUM(BI7:BI20)+SUM(BI24:BI27)</f>
        <v>0</v>
      </c>
      <c r="BJ21" s="195" t="n">
        <f aca="false">SUM(BJ7:BJ20)+SUM(BJ24:BJ27)</f>
        <v>0</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587</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11</v>
      </c>
      <c r="T22" s="196" t="n">
        <f aca="false">COUNT(T7:T20)+COUNT(T24:T27)</f>
        <v>11</v>
      </c>
      <c r="U22" s="196" t="n">
        <f aca="false">COUNT(U7:U20)+COUNT(U24:U27)</f>
        <v>11</v>
      </c>
      <c r="V22" s="196" t="n">
        <f aca="false">COUNT(V7:V20)+COUNT(V24:V27)</f>
        <v>10</v>
      </c>
      <c r="W22" s="196" t="n">
        <f aca="false">COUNT(W7:W20)+COUNT(W24:W27)</f>
        <v>10</v>
      </c>
      <c r="X22" s="196" t="n">
        <f aca="false">COUNT(X7:X20)+COUNT(X24:X27)</f>
        <v>9</v>
      </c>
      <c r="Y22" s="196" t="n">
        <f aca="false">COUNT(Y7:Y20)+COUNT(Y24:Y27)</f>
        <v>8</v>
      </c>
      <c r="Z22" s="196" t="n">
        <f aca="false">COUNT(Z7:Z20)+COUNT(Z24:Z27)</f>
        <v>7</v>
      </c>
      <c r="AA22" s="196" t="n">
        <f aca="false">COUNT(AA7:AA20)+COUNT(AA24:AA27)</f>
        <v>7</v>
      </c>
      <c r="AB22" s="196" t="n">
        <f aca="false">COUNT(AB7:AB20)+COUNT(AB24:AB27)</f>
        <v>7</v>
      </c>
      <c r="AC22" s="196" t="n">
        <f aca="false">COUNT(AC7:AC20)+COUNT(AC24:AC27)</f>
        <v>7</v>
      </c>
      <c r="AD22" s="196" t="n">
        <f aca="false">COUNT(AD7:AD20)+COUNT(AD24:AD27)</f>
        <v>6</v>
      </c>
      <c r="AE22" s="196" t="n">
        <f aca="false">COUNT(AE7:AE20)+COUNT(AE24:AE27)</f>
        <v>5</v>
      </c>
      <c r="AF22" s="196" t="n">
        <f aca="false">COUNT(AF7:AF20)+COUNT(AF24:AF27)</f>
        <v>5</v>
      </c>
      <c r="AG22" s="196" t="n">
        <f aca="false">COUNT(AG7:AG20)+COUNT(AG24:AG27)</f>
        <v>5</v>
      </c>
      <c r="AH22" s="196" t="n">
        <f aca="false">COUNT(AH7:AH20)+COUNT(AH24:AH27)</f>
        <v>5</v>
      </c>
      <c r="AI22" s="196" t="n">
        <f aca="false">COUNT(AI7:AI20)+COUNT(AI24:AI27)</f>
        <v>3</v>
      </c>
      <c r="AJ22" s="196" t="n">
        <f aca="false">COUNT(AJ7:AJ20)+COUNT(AJ24:AJ27)</f>
        <v>2</v>
      </c>
      <c r="AK22" s="196" t="n">
        <f aca="false">COUNT(AK7:AK20)+COUNT(AK24:AK27)</f>
        <v>2</v>
      </c>
      <c r="AL22" s="196" t="n">
        <f aca="false">COUNT(AL7:AL20)+COUNT(AL24:AL27)</f>
        <v>2</v>
      </c>
      <c r="AM22" s="196" t="n">
        <f aca="false">COUNT(AM7:AM20)+COUNT(AM24:AM27)</f>
        <v>1</v>
      </c>
      <c r="AN22" s="196" t="n">
        <f aca="false">COUNT(AN7:AN20)+COUNT(AN24:AN27)</f>
        <v>1</v>
      </c>
      <c r="AO22" s="196" t="n">
        <f aca="false">COUNT(AO7:AO20)+COUNT(AO24:AO27)</f>
        <v>1</v>
      </c>
      <c r="AP22" s="196" t="n">
        <f aca="false">COUNT(AP7:AP20)+COUNT(AP24:AP27)</f>
        <v>1</v>
      </c>
      <c r="AQ22" s="196" t="n">
        <f aca="false">COUNT(AQ7:AQ20)+COUNT(AQ24:AQ27)</f>
        <v>0</v>
      </c>
      <c r="AR22" s="196" t="n">
        <f aca="false">COUNT(AR7:AR20)+COUNT(AR24:AR27)</f>
        <v>0</v>
      </c>
      <c r="AS22" s="196" t="n">
        <f aca="false">COUNT(AS7:AS20)+COUNT(AS24:AS27)</f>
        <v>0</v>
      </c>
      <c r="AT22" s="196" t="n">
        <f aca="false">COUNT(AT7:AT20)+COUNT(AT24:AT27)</f>
        <v>0</v>
      </c>
      <c r="AU22" s="196" t="n">
        <f aca="false">COUNT(AU7:AU20)+COUNT(AU24:AU27)</f>
        <v>0</v>
      </c>
      <c r="AV22" s="196" t="n">
        <f aca="false">COUNT(AV7:AV20)+COUNT(AV24:AV27)</f>
        <v>0</v>
      </c>
      <c r="AW22" s="196" t="n">
        <f aca="false">COUNT(AW7:AW20)+COUNT(AW24:AW27)</f>
        <v>0</v>
      </c>
      <c r="AX22" s="196" t="n">
        <f aca="false">COUNT(AX7:AX20)+COUNT(AX24:AX27)</f>
        <v>0</v>
      </c>
      <c r="AY22" s="196" t="n">
        <f aca="false">COUNT(AY7:AY20)+COUNT(AY24:AY27)</f>
        <v>0</v>
      </c>
      <c r="AZ22" s="196" t="n">
        <f aca="false">COUNT(AZ7:AZ20)+COUNT(AZ24:AZ27)</f>
        <v>0</v>
      </c>
      <c r="BA22" s="196" t="n">
        <f aca="false">COUNT(BA7:BA20)+COUNT(BA24:BA27)</f>
        <v>0</v>
      </c>
      <c r="BB22" s="196" t="n">
        <f aca="false">COUNT(BB7:BB20)+COUNT(BB24:BB27)</f>
        <v>0</v>
      </c>
      <c r="BC22" s="196" t="n">
        <f aca="false">COUNT(BC7:BC20)+COUNT(BC24:BC27)</f>
        <v>0</v>
      </c>
      <c r="BD22" s="196" t="n">
        <f aca="false">COUNT(BD7:BD20)+COUNT(BD24:BD27)</f>
        <v>0</v>
      </c>
      <c r="BE22" s="196" t="n">
        <f aca="false">COUNT(BE7:BE20)+COUNT(BE24:BE27)</f>
        <v>0</v>
      </c>
      <c r="BF22" s="196" t="n">
        <f aca="false">COUNT(BF7:BF20)+COUNT(BF24:BF27)</f>
        <v>0</v>
      </c>
      <c r="BG22" s="196" t="n">
        <f aca="false">COUNT(BG7:BG20)+COUNT(BG24:BG27)</f>
        <v>0</v>
      </c>
      <c r="BH22" s="196" t="n">
        <f aca="false">COUNT(BH7:BH20)+COUNT(BH24:BH27)</f>
        <v>0</v>
      </c>
      <c r="BI22" s="196" t="n">
        <f aca="false">COUNT(BI7:BI20)+COUNT(BI24:BI27)</f>
        <v>0</v>
      </c>
      <c r="BJ22" s="196" t="n">
        <f aca="false">COUNT(BJ7:BJ20)+COUNT(BJ24:BJ27)</f>
        <v>0</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588</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8424111.270381</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n">
        <f aca="false">IF(Model!O22=0,"",Model!O22)</f>
        <v>196306.31287205</v>
      </c>
      <c r="R24" s="194" t="n">
        <f aca="false">IF(Model!P22=0,"",Model!P22)</f>
        <v>256105.78146805</v>
      </c>
      <c r="S24" s="194" t="n">
        <f aca="false">IF(Model!Q22=0,"",Model!Q22)</f>
        <v>320473.53105705</v>
      </c>
      <c r="T24" s="194" t="n">
        <f aca="false">IF(Model!R22=0,"",Model!R22)</f>
        <v>386842.89642705</v>
      </c>
      <c r="U24" s="194" t="n">
        <f aca="false">IF(Model!S22=0,"",Model!S22)</f>
        <v>452024.70028105</v>
      </c>
      <c r="V24" s="194" t="n">
        <f aca="false">IF(Model!T22=0,"",Model!T22)</f>
        <v>512398.79541705</v>
      </c>
      <c r="W24" s="194" t="n">
        <f aca="false">IF(Model!U22=0,"",Model!U22)</f>
        <v>564258.84065205</v>
      </c>
      <c r="X24" s="194" t="n">
        <f aca="false">IF(Model!V22=0,"",Model!V22)</f>
        <v>604166.65385505</v>
      </c>
      <c r="Y24" s="194" t="n">
        <f aca="false">IF(Model!W22=0,"",Model!W22)</f>
        <v>629335.29630705</v>
      </c>
      <c r="Z24" s="194" t="n">
        <f aca="false">IF(Model!X22=0,"",Model!X22)</f>
        <v>637935.54018905</v>
      </c>
      <c r="AA24" s="194" t="n">
        <f aca="false">IF(Model!Y22=0,"",Model!Y22)</f>
        <v>629335.29630705</v>
      </c>
      <c r="AB24" s="194" t="n">
        <f aca="false">IF(Model!Z22=0,"",Model!Z22)</f>
        <v>604166.65385505</v>
      </c>
      <c r="AC24" s="194" t="n">
        <f aca="false">IF(Model!AA22=0,"",Model!AA22)</f>
        <v>564258.84065205</v>
      </c>
      <c r="AD24" s="194" t="n">
        <f aca="false">IF(Model!AB22=0,"",Model!AB22)</f>
        <v>512398.79541705</v>
      </c>
      <c r="AE24" s="194" t="n">
        <f aca="false">IF(Model!AC22=0,"",Model!AC22)</f>
        <v>452024.70028105</v>
      </c>
      <c r="AF24" s="194" t="n">
        <f aca="false">IF(Model!AD22=0,"",Model!AD22)</f>
        <v>386842.89642705</v>
      </c>
      <c r="AG24" s="194" t="n">
        <f aca="false">IF(Model!AE22=0,"",Model!AE22)</f>
        <v>320473.53105705</v>
      </c>
      <c r="AH24" s="194" t="n">
        <f aca="false">IF(Model!AF22=0,"",Model!AF22)</f>
        <v>256105.78146805</v>
      </c>
      <c r="AI24" s="194" t="n">
        <f aca="false">IF(Model!AG22=0,"",Model!AG22)</f>
        <v>138656.4263911</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6636828.465627</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n">
        <f aca="false">IF(Model!N23=0,"",Model!N23)</f>
        <v>154657.42123235</v>
      </c>
      <c r="Q25" s="194" t="n">
        <f aca="false">IF(Model!O23=0,"",Model!O23)</f>
        <v>201769.66876435</v>
      </c>
      <c r="R25" s="194" t="n">
        <f aca="false">IF(Model!P23=0,"",Model!P23)</f>
        <v>252480.97812735</v>
      </c>
      <c r="S25" s="194" t="n">
        <f aca="false">IF(Model!Q23=0,"",Model!Q23)</f>
        <v>304769.23491735</v>
      </c>
      <c r="T25" s="194" t="n">
        <f aca="false">IF(Model!R23=0,"",Model!R23)</f>
        <v>356121.88653535</v>
      </c>
      <c r="U25" s="194" t="n">
        <f aca="false">IF(Model!S23=0,"",Model!S23)</f>
        <v>403686.84624735</v>
      </c>
      <c r="V25" s="194" t="n">
        <f aca="false">IF(Model!T23=0,"",Model!T23)</f>
        <v>444544.12049235</v>
      </c>
      <c r="W25" s="194" t="n">
        <f aca="false">IF(Model!U23=0,"",Model!U23)</f>
        <v>475984.98139335</v>
      </c>
      <c r="X25" s="194" t="n">
        <f aca="false">IF(Model!V23=0,"",Model!V23)</f>
        <v>495813.77487735</v>
      </c>
      <c r="Y25" s="194" t="n">
        <f aca="false">IF(Model!W23=0,"",Model!W23)</f>
        <v>502589.36717135</v>
      </c>
      <c r="Z25" s="194" t="n">
        <f aca="false">IF(Model!X23=0,"",Model!X23)</f>
        <v>495813.77487735</v>
      </c>
      <c r="AA25" s="194" t="n">
        <f aca="false">IF(Model!Y23=0,"",Model!Y23)</f>
        <v>475984.98139335</v>
      </c>
      <c r="AB25" s="194" t="n">
        <f aca="false">IF(Model!Z23=0,"",Model!Z23)</f>
        <v>444544.12049235</v>
      </c>
      <c r="AC25" s="194" t="n">
        <f aca="false">IF(Model!AA23=0,"",Model!AA23)</f>
        <v>403686.84624735</v>
      </c>
      <c r="AD25" s="194" t="n">
        <f aca="false">IF(Model!AB23=0,"",Model!AB23)</f>
        <v>356121.88653535</v>
      </c>
      <c r="AE25" s="194" t="n">
        <f aca="false">IF(Model!AC23=0,"",Model!AC23)</f>
        <v>304769.23491735</v>
      </c>
      <c r="AF25" s="194" t="n">
        <f aca="false">IF(Model!AD23=0,"",Model!AD23)</f>
        <v>252480.97812735</v>
      </c>
      <c r="AG25" s="194" t="n">
        <f aca="false">IF(Model!AE23=0,"",Model!AE23)</f>
        <v>201769.66876435</v>
      </c>
      <c r="AH25" s="194" t="n">
        <f aca="false">IF(Model!AF23=0,"",Model!AF23)</f>
        <v>109238.6945137</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0</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str">
        <f aca="false">IF(Model!X29=0,"",Model!X29)</f>
        <v/>
      </c>
      <c r="AA26" s="194" t="str">
        <f aca="false">IF(Model!Y29=0,"",Model!Y29)</f>
        <v/>
      </c>
      <c r="AB26" s="194" t="str">
        <f aca="false">IF(Model!Z29=0,"",Model!Z29)</f>
        <v/>
      </c>
      <c r="AC26" s="194" t="str">
        <f aca="false">IF(Model!AA29=0,"",Model!AA29)</f>
        <v/>
      </c>
      <c r="AD26" s="194" t="str">
        <f aca="false">IF(Model!AB29=0,"",Model!AB29)</f>
        <v/>
      </c>
      <c r="AE26" s="194" t="str">
        <f aca="false">IF(Model!AC29=0,"",Model!AC29)</f>
        <v/>
      </c>
      <c r="AF26" s="194" t="str">
        <f aca="false">IF(Model!AD29=0,"",Model!AD29)</f>
        <v/>
      </c>
      <c r="AG26" s="194" t="str">
        <f aca="false">IF(Model!AE29=0,"",Model!AE29)</f>
        <v/>
      </c>
      <c r="AH26" s="194" t="str">
        <f aca="false">IF(Model!AF29=0,"",Model!AF29)</f>
        <v/>
      </c>
      <c r="AI26" s="194" t="str">
        <f aca="false">IF(Model!AG29=0,"",Model!AG29)</f>
        <v/>
      </c>
      <c r="AJ26" s="194" t="str">
        <f aca="false">IF(Model!AH29=0,"",Model!AH29)</f>
        <v/>
      </c>
      <c r="AK26" s="194" t="str">
        <f aca="false">IF(Model!AI29=0,"",Model!AI29)</f>
        <v/>
      </c>
      <c r="AL26" s="194" t="str">
        <f aca="false">IF(Model!AJ29=0,"",Model!AJ29)</f>
        <v/>
      </c>
      <c r="AM26" s="194" t="str">
        <f aca="false">IF(Model!AK29=0,"",Model!AK29)</f>
        <v/>
      </c>
      <c r="AN26" s="194" t="str">
        <f aca="false">IF(Model!AL29=0,"",Model!AL29)</f>
        <v/>
      </c>
      <c r="AO26" s="194" t="str">
        <f aca="false">IF(Model!AM29=0,"",Model!AM29)</f>
        <v/>
      </c>
      <c r="AP26" s="194" t="str">
        <f aca="false">IF(Model!AN29=0,"",Model!AN29)</f>
        <v/>
      </c>
      <c r="AQ26" s="194" t="str">
        <f aca="false">IF(Model!AO29=0,"",Model!AO29)</f>
        <v/>
      </c>
      <c r="AR26" s="194" t="str">
        <f aca="false">IF(Model!AP29=0,"",Model!AP29)</f>
        <v/>
      </c>
      <c r="AS26" s="194" t="str">
        <f aca="false">IF(Model!AQ29=0,"",Model!AQ29)</f>
        <v/>
      </c>
      <c r="AT26" s="194" t="str">
        <f aca="false">IF(Model!AR29=0,"",Model!AR29)</f>
        <v/>
      </c>
      <c r="AU26" s="194" t="str">
        <f aca="false">IF(Model!AS29=0,"",Model!AS29)</f>
        <v/>
      </c>
      <c r="AV26" s="194" t="str">
        <f aca="false">IF(Model!AT29=0,"",Model!AT29)</f>
        <v/>
      </c>
      <c r="AW26" s="194" t="str">
        <f aca="false">IF(Model!AU29=0,"",Model!AU29)</f>
        <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13360828.6020788</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n">
        <f aca="false">IF(Model!N30=0,"",Model!N30)</f>
        <v>311346.196127688</v>
      </c>
      <c r="Q27" s="194" t="n">
        <f aca="false">IF(Model!O30=0,"",Model!O30)</f>
        <v>406189.488762688</v>
      </c>
      <c r="R27" s="194" t="n">
        <f aca="false">IF(Model!P30=0,"",Model!P30)</f>
        <v>508278.177071438</v>
      </c>
      <c r="S27" s="194" t="n">
        <f aca="false">IF(Model!Q30=0,"",Model!Q30)</f>
        <v>613541.472708938</v>
      </c>
      <c r="T27" s="194" t="n">
        <f aca="false">IF(Model!R30=0,"",Model!R30)</f>
        <v>716921.269261438</v>
      </c>
      <c r="U27" s="194" t="n">
        <f aca="false">IF(Model!S30=0,"",Model!S30)</f>
        <v>812675.932421438</v>
      </c>
      <c r="V27" s="194" t="n">
        <f aca="false">IF(Model!T30=0,"",Model!T30)</f>
        <v>894927.122302687</v>
      </c>
      <c r="W27" s="194" t="n">
        <f aca="false">IF(Model!U30=0,"",Model!U30)</f>
        <v>958221.805263938</v>
      </c>
      <c r="X27" s="194" t="n">
        <f aca="false">IF(Model!V30=0,"",Model!V30)</f>
        <v>998139.834258938</v>
      </c>
      <c r="Y27" s="194" t="n">
        <f aca="false">IF(Model!W30=0,"",Model!W30)</f>
        <v>1011780.01311644</v>
      </c>
      <c r="Z27" s="194" t="n">
        <f aca="false">IF(Model!X30=0,"",Model!X30)</f>
        <v>998139.834258938</v>
      </c>
      <c r="AA27" s="194" t="n">
        <f aca="false">IF(Model!Y30=0,"",Model!Y30)</f>
        <v>958221.805263938</v>
      </c>
      <c r="AB27" s="194" t="n">
        <f aca="false">IF(Model!Z30=0,"",Model!Z30)</f>
        <v>894927.122302687</v>
      </c>
      <c r="AC27" s="194" t="n">
        <f aca="false">IF(Model!AA30=0,"",Model!AA30)</f>
        <v>812675.932421438</v>
      </c>
      <c r="AD27" s="194" t="n">
        <f aca="false">IF(Model!AB30=0,"",Model!AB30)</f>
        <v>716921.269261438</v>
      </c>
      <c r="AE27" s="194" t="n">
        <f aca="false">IF(Model!AC30=0,"",Model!AC30)</f>
        <v>613541.472708938</v>
      </c>
      <c r="AF27" s="194" t="n">
        <f aca="false">IF(Model!AD30=0,"",Model!AD30)</f>
        <v>508278.177071438</v>
      </c>
      <c r="AG27" s="194" t="n">
        <f aca="false">IF(Model!AE30=0,"",Model!AE30)</f>
        <v>406189.488762688</v>
      </c>
      <c r="AH27" s="194" t="n">
        <f aca="false">IF(Model!AF30=0,"",Model!AF30)</f>
        <v>219912.188731625</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15000000</v>
      </c>
      <c r="C28" s="192" t="n">
        <f aca="false">EDATE(Model!$E$2,Projects!$C$22-1)</f>
        <v>47027</v>
      </c>
      <c r="D28" s="192" t="n">
        <f aca="false">EDATE(Model!$E$2,Projects!$C$22+Projects!$D$22-2)</f>
        <v>47574</v>
      </c>
      <c r="E28" s="193" t="n">
        <f aca="false">Projects!$D$22</f>
        <v>19</v>
      </c>
      <c r="F28" s="191" t="n">
        <f aca="false">SUM(G28:DB28)</f>
        <v>0</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str">
        <f aca="false">IF(Model!W31=0,"",Model!W31)</f>
        <v/>
      </c>
      <c r="Z28" s="194" t="str">
        <f aca="false">IF(Model!X31=0,"",Model!X31)</f>
        <v/>
      </c>
      <c r="AA28" s="194" t="str">
        <f aca="false">IF(Model!Y31=0,"",Model!Y31)</f>
        <v/>
      </c>
      <c r="AB28" s="194" t="str">
        <f aca="false">IF(Model!Z31=0,"",Model!Z31)</f>
        <v/>
      </c>
      <c r="AC28" s="194" t="str">
        <f aca="false">IF(Model!AA31=0,"",Model!AA31)</f>
        <v/>
      </c>
      <c r="AD28" s="194" t="str">
        <f aca="false">IF(Model!AB31=0,"",Model!AB31)</f>
        <v/>
      </c>
      <c r="AE28" s="194" t="str">
        <f aca="false">IF(Model!AC31=0,"",Model!AC31)</f>
        <v/>
      </c>
      <c r="AF28" s="194" t="str">
        <f aca="false">IF(Model!AD31=0,"",Model!AD31)</f>
        <v/>
      </c>
      <c r="AG28" s="194" t="str">
        <f aca="false">IF(Model!AE31=0,"",Model!AE31)</f>
        <v/>
      </c>
      <c r="AH28" s="194" t="str">
        <f aca="false">IF(Model!AF31=0,"",Model!AF31)</f>
        <v/>
      </c>
      <c r="AI28" s="194" t="str">
        <f aca="false">IF(Model!AG31=0,"",Model!AG31)</f>
        <v/>
      </c>
      <c r="AJ28" s="194" t="str">
        <f aca="false">IF(Model!AH31=0,"",Model!AH31)</f>
        <v/>
      </c>
      <c r="AK28" s="194" t="str">
        <f aca="false">IF(Model!AI31=0,"",Model!AI31)</f>
        <v/>
      </c>
      <c r="AL28" s="194" t="str">
        <f aca="false">IF(Model!AJ31=0,"",Model!AJ31)</f>
        <v/>
      </c>
      <c r="AM28" s="194" t="str">
        <f aca="false">IF(Model!AK31=0,"",Model!AK31)</f>
        <v/>
      </c>
      <c r="AN28" s="194" t="str">
        <f aca="false">IF(Model!AL31=0,"",Model!AL31)</f>
        <v/>
      </c>
      <c r="AO28" s="194" t="str">
        <f aca="false">IF(Model!AM31=0,"",Model!AM31)</f>
        <v/>
      </c>
      <c r="AP28" s="194" t="str">
        <f aca="false">IF(Model!AN31=0,"",Model!AN31)</f>
        <v/>
      </c>
      <c r="AQ28" s="194" t="str">
        <f aca="false">IF(Model!AO31=0,"",Model!AO31)</f>
        <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SUM(G30:DB30)</f>
        <v>0</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str">
        <f aca="false">IF(Model!AB33=0,"",Model!AB33)</f>
        <v/>
      </c>
      <c r="AE30" s="194" t="str">
        <f aca="false">IF(Model!AC33=0,"",Model!AC33)</f>
        <v/>
      </c>
      <c r="AF30" s="194" t="str">
        <f aca="false">IF(Model!AD33=0,"",Model!AD33)</f>
        <v/>
      </c>
      <c r="AG30" s="194" t="str">
        <f aca="false">IF(Model!AE33=0,"",Model!AE33)</f>
        <v/>
      </c>
      <c r="AH30" s="194" t="str">
        <f aca="false">IF(Model!AF33=0,"",Model!AF33)</f>
        <v/>
      </c>
      <c r="AI30" s="194" t="str">
        <f aca="false">IF(Model!AG33=0,"",Model!AG33)</f>
        <v/>
      </c>
      <c r="AJ30" s="194" t="str">
        <f aca="false">IF(Model!AH33=0,"",Model!AH33)</f>
        <v/>
      </c>
      <c r="AK30" s="194" t="str">
        <f aca="false">IF(Model!AI33=0,"",Model!AI33)</f>
        <v/>
      </c>
      <c r="AL30" s="194" t="str">
        <f aca="false">IF(Model!AJ33=0,"",Model!AJ33)</f>
        <v/>
      </c>
      <c r="AM30" s="194" t="str">
        <f aca="false">IF(Model!AK33=0,"",Model!AK33)</f>
        <v/>
      </c>
      <c r="AN30" s="194" t="str">
        <f aca="false">IF(Model!AL33=0,"",Model!AL33)</f>
        <v/>
      </c>
      <c r="AO30" s="194" t="str">
        <f aca="false">IF(Model!AM33=0,"",Model!AM33)</f>
        <v/>
      </c>
      <c r="AP30" s="194" t="str">
        <f aca="false">IF(Model!AN33=0,"",Model!AN33)</f>
        <v/>
      </c>
      <c r="AQ30" s="194" t="str">
        <f aca="false">IF(Model!AO33=0,"",Model!AO33)</f>
        <v/>
      </c>
      <c r="AR30" s="194" t="str">
        <f aca="false">IF(Model!AP33=0,"",Model!AP33)</f>
        <v/>
      </c>
      <c r="AS30" s="194" t="str">
        <f aca="false">IF(Model!AQ33=0,"",Model!AQ33)</f>
        <v/>
      </c>
      <c r="AT30" s="194" t="str">
        <f aca="false">IF(Model!AR33=0,"",Model!AR33)</f>
        <v/>
      </c>
      <c r="AU30" s="194" t="str">
        <f aca="false">IF(Model!AS33=0,"",Model!AS33)</f>
        <v/>
      </c>
      <c r="AV30" s="194" t="str">
        <f aca="false">IF(Model!AT33=0,"",Model!AT33)</f>
        <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SUM(G31:DB31)</f>
        <v>0</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str">
        <f aca="false">IF(Model!AG34=0,"",Model!AG34)</f>
        <v/>
      </c>
      <c r="AJ31" s="194" t="str">
        <f aca="false">IF(Model!AH34=0,"",Model!AH34)</f>
        <v/>
      </c>
      <c r="AK31" s="194" t="str">
        <f aca="false">IF(Model!AI34=0,"",Model!AI34)</f>
        <v/>
      </c>
      <c r="AL31" s="194" t="str">
        <f aca="false">IF(Model!AJ34=0,"",Model!AJ34)</f>
        <v/>
      </c>
      <c r="AM31" s="194" t="str">
        <f aca="false">IF(Model!AK34=0,"",Model!AK34)</f>
        <v/>
      </c>
      <c r="AN31" s="194" t="str">
        <f aca="false">IF(Model!AL34=0,"",Model!AL34)</f>
        <v/>
      </c>
      <c r="AO31" s="194" t="str">
        <f aca="false">IF(Model!AM34=0,"",Model!AM34)</f>
        <v/>
      </c>
      <c r="AP31" s="194" t="str">
        <f aca="false">IF(Model!AN34=0,"",Model!AN34)</f>
        <v/>
      </c>
      <c r="AQ31" s="194" t="str">
        <f aca="false">IF(Model!AO34=0,"",Model!AO34)</f>
        <v/>
      </c>
      <c r="AR31" s="194" t="str">
        <f aca="false">IF(Model!AP34=0,"",Model!AP34)</f>
        <v/>
      </c>
      <c r="AS31" s="194" t="str">
        <f aca="false">IF(Model!AQ34=0,"",Model!AQ34)</f>
        <v/>
      </c>
      <c r="AT31" s="194" t="str">
        <f aca="false">IF(Model!AR34=0,"",Model!AR34)</f>
        <v/>
      </c>
      <c r="AU31" s="194" t="str">
        <f aca="false">IF(Model!AS34=0,"",Model!AS34)</f>
        <v/>
      </c>
      <c r="AV31" s="194" t="str">
        <f aca="false">IF(Model!AT34=0,"",Model!AT34)</f>
        <v/>
      </c>
      <c r="AW31" s="194" t="str">
        <f aca="false">IF(Model!AU34=0,"",Model!AU34)</f>
        <v/>
      </c>
      <c r="AX31" s="194" t="str">
        <f aca="false">IF(Model!AV34=0,"",Model!AV34)</f>
        <v/>
      </c>
      <c r="AY31" s="194" t="str">
        <f aca="false">IF(Model!AW34=0,"",Model!AW34)</f>
        <v/>
      </c>
      <c r="AZ31" s="194" t="str">
        <f aca="false">IF(Model!AX34=0,"",Model!AX34)</f>
        <v/>
      </c>
      <c r="BA31" s="194" t="str">
        <f aca="false">IF(Model!AY34=0,"",Model!AY34)</f>
        <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SUM(G32:DB32)</f>
        <v>0</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str">
        <f aca="false">IF(Model!AH35=0,"",Model!AH35)</f>
        <v/>
      </c>
      <c r="AK32" s="194" t="str">
        <f aca="false">IF(Model!AI35=0,"",Model!AI35)</f>
        <v/>
      </c>
      <c r="AL32" s="194" t="str">
        <f aca="false">IF(Model!AJ35=0,"",Model!AJ35)</f>
        <v/>
      </c>
      <c r="AM32" s="194" t="str">
        <f aca="false">IF(Model!AK35=0,"",Model!AK35)</f>
        <v/>
      </c>
      <c r="AN32" s="194" t="str">
        <f aca="false">IF(Model!AL35=0,"",Model!AL35)</f>
        <v/>
      </c>
      <c r="AO32" s="194" t="str">
        <f aca="false">IF(Model!AM35=0,"",Model!AM35)</f>
        <v/>
      </c>
      <c r="AP32" s="194" t="str">
        <f aca="false">IF(Model!AN35=0,"",Model!AN35)</f>
        <v/>
      </c>
      <c r="AQ32" s="194" t="str">
        <f aca="false">IF(Model!AO35=0,"",Model!AO35)</f>
        <v/>
      </c>
      <c r="AR32" s="194" t="str">
        <f aca="false">IF(Model!AP35=0,"",Model!AP35)</f>
        <v/>
      </c>
      <c r="AS32" s="194" t="str">
        <f aca="false">IF(Model!AQ35=0,"",Model!AQ35)</f>
        <v/>
      </c>
      <c r="AT32" s="194" t="str">
        <f aca="false">IF(Model!AR35=0,"",Model!AR35)</f>
        <v/>
      </c>
      <c r="AU32" s="194" t="str">
        <f aca="false">IF(Model!AS35=0,"",Model!AS35)</f>
        <v/>
      </c>
      <c r="AV32" s="194" t="str">
        <f aca="false">IF(Model!AT35=0,"",Model!AT35)</f>
        <v/>
      </c>
      <c r="AW32" s="194" t="str">
        <f aca="false">IF(Model!AU35=0,"",Model!AU35)</f>
        <v/>
      </c>
      <c r="AX32" s="194" t="str">
        <f aca="false">IF(Model!AV35=0,"",Model!AV35)</f>
        <v/>
      </c>
      <c r="AY32" s="194" t="str">
        <f aca="false">IF(Model!AW35=0,"",Model!AW35)</f>
        <v/>
      </c>
      <c r="AZ32" s="194" t="str">
        <f aca="false">IF(Model!AX35=0,"",Model!AX35)</f>
        <v/>
      </c>
      <c r="BA32" s="194" t="str">
        <f aca="false">IF(Model!AY35=0,"",Model!AY35)</f>
        <v/>
      </c>
      <c r="BB32" s="194" t="str">
        <f aca="false">IF(Model!AZ35=0,"",Model!AZ35)</f>
        <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SUM(G33:DB33)</f>
        <v>0</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str">
        <f aca="false">IF(Model!AI36=0,"",Model!AI36)</f>
        <v/>
      </c>
      <c r="AL33" s="194" t="str">
        <f aca="false">IF(Model!AJ36=0,"",Model!AJ36)</f>
        <v/>
      </c>
      <c r="AM33" s="194" t="str">
        <f aca="false">IF(Model!AK36=0,"",Model!AK36)</f>
        <v/>
      </c>
      <c r="AN33" s="194" t="str">
        <f aca="false">IF(Model!AL36=0,"",Model!AL36)</f>
        <v/>
      </c>
      <c r="AO33" s="194" t="str">
        <f aca="false">IF(Model!AM36=0,"",Model!AM36)</f>
        <v/>
      </c>
      <c r="AP33" s="194" t="str">
        <f aca="false">IF(Model!AN36=0,"",Model!AN36)</f>
        <v/>
      </c>
      <c r="AQ33" s="194" t="str">
        <f aca="false">IF(Model!AO36=0,"",Model!AO36)</f>
        <v/>
      </c>
      <c r="AR33" s="194" t="str">
        <f aca="false">IF(Model!AP36=0,"",Model!AP36)</f>
        <v/>
      </c>
      <c r="AS33" s="194" t="str">
        <f aca="false">IF(Model!AQ36=0,"",Model!AQ36)</f>
        <v/>
      </c>
      <c r="AT33" s="194" t="str">
        <f aca="false">IF(Model!AR36=0,"",Model!AR36)</f>
        <v/>
      </c>
      <c r="AU33" s="194" t="str">
        <f aca="false">IF(Model!AS36=0,"",Model!AS36)</f>
        <v/>
      </c>
      <c r="AV33" s="194" t="str">
        <f aca="false">IF(Model!AT36=0,"",Model!AT36)</f>
        <v/>
      </c>
      <c r="AW33" s="194" t="str">
        <f aca="false">IF(Model!AU36=0,"",Model!AU36)</f>
        <v/>
      </c>
      <c r="AX33" s="194" t="str">
        <f aca="false">IF(Model!AV36=0,"",Model!AV36)</f>
        <v/>
      </c>
      <c r="AY33" s="194" t="str">
        <f aca="false">IF(Model!AW36=0,"",Model!AW36)</f>
        <v/>
      </c>
      <c r="AZ33" s="194" t="str">
        <f aca="false">IF(Model!AX36=0,"",Model!AX36)</f>
        <v/>
      </c>
      <c r="BA33" s="194" t="str">
        <f aca="false">IF(Model!AY36=0,"",Model!AY36)</f>
        <v/>
      </c>
      <c r="BB33" s="194" t="str">
        <f aca="false">IF(Model!AZ36=0,"",Model!AZ36)</f>
        <v/>
      </c>
      <c r="BC33" s="194" t="str">
        <f aca="false">IF(Model!BA36=0,"",Model!BA36)</f>
        <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SUM(G34:DB34)</f>
        <v>0</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str">
        <f aca="false">IF(Model!AJ37=0,"",Model!AJ37)</f>
        <v/>
      </c>
      <c r="AM34" s="194" t="str">
        <f aca="false">IF(Model!AK37=0,"",Model!AK37)</f>
        <v/>
      </c>
      <c r="AN34" s="194" t="str">
        <f aca="false">IF(Model!AL37=0,"",Model!AL37)</f>
        <v/>
      </c>
      <c r="AO34" s="194" t="str">
        <f aca="false">IF(Model!AM37=0,"",Model!AM37)</f>
        <v/>
      </c>
      <c r="AP34" s="194" t="str">
        <f aca="false">IF(Model!AN37=0,"",Model!AN37)</f>
        <v/>
      </c>
      <c r="AQ34" s="194" t="str">
        <f aca="false">IF(Model!AO37=0,"",Model!AO37)</f>
        <v/>
      </c>
      <c r="AR34" s="194" t="str">
        <f aca="false">IF(Model!AP37=0,"",Model!AP37)</f>
        <v/>
      </c>
      <c r="AS34" s="194" t="str">
        <f aca="false">IF(Model!AQ37=0,"",Model!AQ37)</f>
        <v/>
      </c>
      <c r="AT34" s="194" t="str">
        <f aca="false">IF(Model!AR37=0,"",Model!AR37)</f>
        <v/>
      </c>
      <c r="AU34" s="194" t="str">
        <f aca="false">IF(Model!AS37=0,"",Model!AS37)</f>
        <v/>
      </c>
      <c r="AV34" s="194" t="str">
        <f aca="false">IF(Model!AT37=0,"",Model!AT37)</f>
        <v/>
      </c>
      <c r="AW34" s="194" t="str">
        <f aca="false">IF(Model!AU37=0,"",Model!AU37)</f>
        <v/>
      </c>
      <c r="AX34" s="194" t="str">
        <f aca="false">IF(Model!AV37=0,"",Model!AV37)</f>
        <v/>
      </c>
      <c r="AY34" s="194" t="str">
        <f aca="false">IF(Model!AW37=0,"",Model!AW37)</f>
        <v/>
      </c>
      <c r="AZ34" s="194" t="str">
        <f aca="false">IF(Model!AX37=0,"",Model!AX37)</f>
        <v/>
      </c>
      <c r="BA34" s="194" t="str">
        <f aca="false">IF(Model!AY37=0,"",Model!AY37)</f>
        <v/>
      </c>
      <c r="BB34" s="194" t="str">
        <f aca="false">IF(Model!AZ37=0,"",Model!AZ37)</f>
        <v/>
      </c>
      <c r="BC34" s="194" t="str">
        <f aca="false">IF(Model!BA37=0,"",Model!BA37)</f>
        <v/>
      </c>
      <c r="BD34" s="194" t="str">
        <f aca="false">IF(Model!BB37=0,"",Model!BB37)</f>
        <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SUM(G35:DB35)</f>
        <v>0</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str">
        <f aca="false">IF(Model!AK38=0,"",Model!AK38)</f>
        <v/>
      </c>
      <c r="AN35" s="194" t="str">
        <f aca="false">IF(Model!AL38=0,"",Model!AL38)</f>
        <v/>
      </c>
      <c r="AO35" s="194" t="str">
        <f aca="false">IF(Model!AM38=0,"",Model!AM38)</f>
        <v/>
      </c>
      <c r="AP35" s="194" t="str">
        <f aca="false">IF(Model!AN38=0,"",Model!AN38)</f>
        <v/>
      </c>
      <c r="AQ35" s="194" t="str">
        <f aca="false">IF(Model!AO38=0,"",Model!AO38)</f>
        <v/>
      </c>
      <c r="AR35" s="194" t="str">
        <f aca="false">IF(Model!AP38=0,"",Model!AP38)</f>
        <v/>
      </c>
      <c r="AS35" s="194" t="str">
        <f aca="false">IF(Model!AQ38=0,"",Model!AQ38)</f>
        <v/>
      </c>
      <c r="AT35" s="194" t="str">
        <f aca="false">IF(Model!AR38=0,"",Model!AR38)</f>
        <v/>
      </c>
      <c r="AU35" s="194" t="str">
        <f aca="false">IF(Model!AS38=0,"",Model!AS38)</f>
        <v/>
      </c>
      <c r="AV35" s="194" t="str">
        <f aca="false">IF(Model!AT38=0,"",Model!AT38)</f>
        <v/>
      </c>
      <c r="AW35" s="194" t="str">
        <f aca="false">IF(Model!AU38=0,"",Model!AU38)</f>
        <v/>
      </c>
      <c r="AX35" s="194" t="str">
        <f aca="false">IF(Model!AV38=0,"",Model!AV38)</f>
        <v/>
      </c>
      <c r="AY35" s="194" t="str">
        <f aca="false">IF(Model!AW38=0,"",Model!AW38)</f>
        <v/>
      </c>
      <c r="AZ35" s="194" t="str">
        <f aca="false">IF(Model!AX38=0,"",Model!AX38)</f>
        <v/>
      </c>
      <c r="BA35" s="194" t="str">
        <f aca="false">IF(Model!AY38=0,"",Model!AY38)</f>
        <v/>
      </c>
      <c r="BB35" s="194" t="str">
        <f aca="false">IF(Model!AZ38=0,"",Model!AZ38)</f>
        <v/>
      </c>
      <c r="BC35" s="194" t="str">
        <f aca="false">IF(Model!BA38=0,"",Model!BA38)</f>
        <v/>
      </c>
      <c r="BD35" s="194" t="str">
        <f aca="false">IF(Model!BB38=0,"",Model!BB38)</f>
        <v/>
      </c>
      <c r="BE35" s="194" t="str">
        <f aca="false">IF(Model!BC38=0,"",Model!BC38)</f>
        <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SUM(G36:DB36)</f>
        <v>0</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str">
        <f aca="false">IF(Model!AL39=0,"",Model!AL39)</f>
        <v/>
      </c>
      <c r="AO36" s="194" t="str">
        <f aca="false">IF(Model!AM39=0,"",Model!AM39)</f>
        <v/>
      </c>
      <c r="AP36" s="194" t="str">
        <f aca="false">IF(Model!AN39=0,"",Model!AN39)</f>
        <v/>
      </c>
      <c r="AQ36" s="194" t="str">
        <f aca="false">IF(Model!AO39=0,"",Model!AO39)</f>
        <v/>
      </c>
      <c r="AR36" s="194" t="str">
        <f aca="false">IF(Model!AP39=0,"",Model!AP39)</f>
        <v/>
      </c>
      <c r="AS36" s="194" t="str">
        <f aca="false">IF(Model!AQ39=0,"",Model!AQ39)</f>
        <v/>
      </c>
      <c r="AT36" s="194" t="str">
        <f aca="false">IF(Model!AR39=0,"",Model!AR39)</f>
        <v/>
      </c>
      <c r="AU36" s="194" t="str">
        <f aca="false">IF(Model!AS39=0,"",Model!AS39)</f>
        <v/>
      </c>
      <c r="AV36" s="194" t="str">
        <f aca="false">IF(Model!AT39=0,"",Model!AT39)</f>
        <v/>
      </c>
      <c r="AW36" s="194" t="str">
        <f aca="false">IF(Model!AU39=0,"",Model!AU39)</f>
        <v/>
      </c>
      <c r="AX36" s="194" t="str">
        <f aca="false">IF(Model!AV39=0,"",Model!AV39)</f>
        <v/>
      </c>
      <c r="AY36" s="194" t="str">
        <f aca="false">IF(Model!AW39=0,"",Model!AW39)</f>
        <v/>
      </c>
      <c r="AZ36" s="194" t="str">
        <f aca="false">IF(Model!AX39=0,"",Model!AX39)</f>
        <v/>
      </c>
      <c r="BA36" s="194" t="str">
        <f aca="false">IF(Model!AY39=0,"",Model!AY39)</f>
        <v/>
      </c>
      <c r="BB36" s="194" t="str">
        <f aca="false">IF(Model!AZ39=0,"",Model!AZ39)</f>
        <v/>
      </c>
      <c r="BC36" s="194" t="str">
        <f aca="false">IF(Model!BA39=0,"",Model!BA39)</f>
        <v/>
      </c>
      <c r="BD36" s="194" t="str">
        <f aca="false">IF(Model!BB39=0,"",Model!BB39)</f>
        <v/>
      </c>
      <c r="BE36" s="194" t="str">
        <f aca="false">IF(Model!BC39=0,"",Model!BC39)</f>
        <v/>
      </c>
      <c r="BF36" s="194" t="str">
        <f aca="false">IF(Model!BD39=0,"",Model!BD39)</f>
        <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SUM(G37:DB37)</f>
        <v>0</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str">
        <f aca="false">IF(Model!AM40=0,"",Model!AM40)</f>
        <v/>
      </c>
      <c r="AP37" s="194" t="str">
        <f aca="false">IF(Model!AN40=0,"",Model!AN40)</f>
        <v/>
      </c>
      <c r="AQ37" s="194" t="str">
        <f aca="false">IF(Model!AO40=0,"",Model!AO40)</f>
        <v/>
      </c>
      <c r="AR37" s="194" t="str">
        <f aca="false">IF(Model!AP40=0,"",Model!AP40)</f>
        <v/>
      </c>
      <c r="AS37" s="194" t="str">
        <f aca="false">IF(Model!AQ40=0,"",Model!AQ40)</f>
        <v/>
      </c>
      <c r="AT37" s="194" t="str">
        <f aca="false">IF(Model!AR40=0,"",Model!AR40)</f>
        <v/>
      </c>
      <c r="AU37" s="194" t="str">
        <f aca="false">IF(Model!AS40=0,"",Model!AS40)</f>
        <v/>
      </c>
      <c r="AV37" s="194" t="str">
        <f aca="false">IF(Model!AT40=0,"",Model!AT40)</f>
        <v/>
      </c>
      <c r="AW37" s="194" t="str">
        <f aca="false">IF(Model!AU40=0,"",Model!AU40)</f>
        <v/>
      </c>
      <c r="AX37" s="194" t="str">
        <f aca="false">IF(Model!AV40=0,"",Model!AV40)</f>
        <v/>
      </c>
      <c r="AY37" s="194" t="str">
        <f aca="false">IF(Model!AW40=0,"",Model!AW40)</f>
        <v/>
      </c>
      <c r="AZ37" s="194" t="str">
        <f aca="false">IF(Model!AX40=0,"",Model!AX40)</f>
        <v/>
      </c>
      <c r="BA37" s="194" t="str">
        <f aca="false">IF(Model!AY40=0,"",Model!AY40)</f>
        <v/>
      </c>
      <c r="BB37" s="194" t="str">
        <f aca="false">IF(Model!AZ40=0,"",Model!AZ40)</f>
        <v/>
      </c>
      <c r="BC37" s="194" t="str">
        <f aca="false">IF(Model!BA40=0,"",Model!BA40)</f>
        <v/>
      </c>
      <c r="BD37" s="194" t="str">
        <f aca="false">IF(Model!BB40=0,"",Model!BB40)</f>
        <v/>
      </c>
      <c r="BE37" s="194" t="str">
        <f aca="false">IF(Model!BC40=0,"",Model!BC40)</f>
        <v/>
      </c>
      <c r="BF37" s="194" t="str">
        <f aca="false">IF(Model!BD40=0,"",Model!BD40)</f>
        <v/>
      </c>
      <c r="BG37" s="194" t="str">
        <f aca="false">IF(Model!BE40=0,"",Model!BE40)</f>
        <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SUM(G38:DB38)</f>
        <v>0</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str">
        <f aca="false">IF(Model!AN41=0,"",Model!AN41)</f>
        <v/>
      </c>
      <c r="AQ38" s="194" t="str">
        <f aca="false">IF(Model!AO41=0,"",Model!AO41)</f>
        <v/>
      </c>
      <c r="AR38" s="194" t="str">
        <f aca="false">IF(Model!AP41=0,"",Model!AP41)</f>
        <v/>
      </c>
      <c r="AS38" s="194" t="str">
        <f aca="false">IF(Model!AQ41=0,"",Model!AQ41)</f>
        <v/>
      </c>
      <c r="AT38" s="194" t="str">
        <f aca="false">IF(Model!AR41=0,"",Model!AR41)</f>
        <v/>
      </c>
      <c r="AU38" s="194" t="str">
        <f aca="false">IF(Model!AS41=0,"",Model!AS41)</f>
        <v/>
      </c>
      <c r="AV38" s="194" t="str">
        <f aca="false">IF(Model!AT41=0,"",Model!AT41)</f>
        <v/>
      </c>
      <c r="AW38" s="194" t="str">
        <f aca="false">IF(Model!AU41=0,"",Model!AU41)</f>
        <v/>
      </c>
      <c r="AX38" s="194" t="str">
        <f aca="false">IF(Model!AV41=0,"",Model!AV41)</f>
        <v/>
      </c>
      <c r="AY38" s="194" t="str">
        <f aca="false">IF(Model!AW41=0,"",Model!AW41)</f>
        <v/>
      </c>
      <c r="AZ38" s="194" t="str">
        <f aca="false">IF(Model!AX41=0,"",Model!AX41)</f>
        <v/>
      </c>
      <c r="BA38" s="194" t="str">
        <f aca="false">IF(Model!AY41=0,"",Model!AY41)</f>
        <v/>
      </c>
      <c r="BB38" s="194" t="str">
        <f aca="false">IF(Model!AZ41=0,"",Model!AZ41)</f>
        <v/>
      </c>
      <c r="BC38" s="194" t="str">
        <f aca="false">IF(Model!BA41=0,"",Model!BA41)</f>
        <v/>
      </c>
      <c r="BD38" s="194" t="str">
        <f aca="false">IF(Model!BB41=0,"",Model!BB41)</f>
        <v/>
      </c>
      <c r="BE38" s="194" t="str">
        <f aca="false">IF(Model!BC41=0,"",Model!BC41)</f>
        <v/>
      </c>
      <c r="BF38" s="194" t="str">
        <f aca="false">IF(Model!BD41=0,"",Model!BD41)</f>
        <v/>
      </c>
      <c r="BG38" s="194" t="str">
        <f aca="false">IF(Model!BE41=0,"",Model!BE41)</f>
        <v/>
      </c>
      <c r="BH38" s="194" t="str">
        <f aca="false">IF(Model!BF41=0,"",Model!BF41)</f>
        <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SUM(G39:DB39)</f>
        <v>0</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str">
        <f aca="false">IF(Model!AO42=0,"",Model!AO42)</f>
        <v/>
      </c>
      <c r="AR39" s="194" t="str">
        <f aca="false">IF(Model!AP42=0,"",Model!AP42)</f>
        <v/>
      </c>
      <c r="AS39" s="194" t="str">
        <f aca="false">IF(Model!AQ42=0,"",Model!AQ42)</f>
        <v/>
      </c>
      <c r="AT39" s="194" t="str">
        <f aca="false">IF(Model!AR42=0,"",Model!AR42)</f>
        <v/>
      </c>
      <c r="AU39" s="194" t="str">
        <f aca="false">IF(Model!AS42=0,"",Model!AS42)</f>
        <v/>
      </c>
      <c r="AV39" s="194" t="str">
        <f aca="false">IF(Model!AT42=0,"",Model!AT42)</f>
        <v/>
      </c>
      <c r="AW39" s="194" t="str">
        <f aca="false">IF(Model!AU42=0,"",Model!AU42)</f>
        <v/>
      </c>
      <c r="AX39" s="194" t="str">
        <f aca="false">IF(Model!AV42=0,"",Model!AV42)</f>
        <v/>
      </c>
      <c r="AY39" s="194" t="str">
        <f aca="false">IF(Model!AW42=0,"",Model!AW42)</f>
        <v/>
      </c>
      <c r="AZ39" s="194" t="str">
        <f aca="false">IF(Model!AX42=0,"",Model!AX42)</f>
        <v/>
      </c>
      <c r="BA39" s="194" t="str">
        <f aca="false">IF(Model!AY42=0,"",Model!AY42)</f>
        <v/>
      </c>
      <c r="BB39" s="194" t="str">
        <f aca="false">IF(Model!AZ42=0,"",Model!AZ42)</f>
        <v/>
      </c>
      <c r="BC39" s="194" t="str">
        <f aca="false">IF(Model!BA42=0,"",Model!BA42)</f>
        <v/>
      </c>
      <c r="BD39" s="194" t="str">
        <f aca="false">IF(Model!BB42=0,"",Model!BB42)</f>
        <v/>
      </c>
      <c r="BE39" s="194" t="str">
        <f aca="false">IF(Model!BC42=0,"",Model!BC42)</f>
        <v/>
      </c>
      <c r="BF39" s="194" t="str">
        <f aca="false">IF(Model!BD42=0,"",Model!BD42)</f>
        <v/>
      </c>
      <c r="BG39" s="194" t="str">
        <f aca="false">IF(Model!BE42=0,"",Model!BE42)</f>
        <v/>
      </c>
      <c r="BH39" s="194" t="str">
        <f aca="false">IF(Model!BF42=0,"",Model!BF42)</f>
        <v/>
      </c>
      <c r="BI39" s="194" t="str">
        <f aca="false">IF(Model!BG42=0,"",Model!BG42)</f>
        <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SUM(G40:DB40)</f>
        <v>0</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str">
        <f aca="false">IF(Model!AP43=0,"",Model!AP43)</f>
        <v/>
      </c>
      <c r="AS40" s="194" t="str">
        <f aca="false">IF(Model!AQ43=0,"",Model!AQ43)</f>
        <v/>
      </c>
      <c r="AT40" s="194" t="str">
        <f aca="false">IF(Model!AR43=0,"",Model!AR43)</f>
        <v/>
      </c>
      <c r="AU40" s="194" t="str">
        <f aca="false">IF(Model!AS43=0,"",Model!AS43)</f>
        <v/>
      </c>
      <c r="AV40" s="194" t="str">
        <f aca="false">IF(Model!AT43=0,"",Model!AT43)</f>
        <v/>
      </c>
      <c r="AW40" s="194" t="str">
        <f aca="false">IF(Model!AU43=0,"",Model!AU43)</f>
        <v/>
      </c>
      <c r="AX40" s="194" t="str">
        <f aca="false">IF(Model!AV43=0,"",Model!AV43)</f>
        <v/>
      </c>
      <c r="AY40" s="194" t="str">
        <f aca="false">IF(Model!AW43=0,"",Model!AW43)</f>
        <v/>
      </c>
      <c r="AZ40" s="194" t="str">
        <f aca="false">IF(Model!AX43=0,"",Model!AX43)</f>
        <v/>
      </c>
      <c r="BA40" s="194" t="str">
        <f aca="false">IF(Model!AY43=0,"",Model!AY43)</f>
        <v/>
      </c>
      <c r="BB40" s="194" t="str">
        <f aca="false">IF(Model!AZ43=0,"",Model!AZ43)</f>
        <v/>
      </c>
      <c r="BC40" s="194" t="str">
        <f aca="false">IF(Model!BA43=0,"",Model!BA43)</f>
        <v/>
      </c>
      <c r="BD40" s="194" t="str">
        <f aca="false">IF(Model!BB43=0,"",Model!BB43)</f>
        <v/>
      </c>
      <c r="BE40" s="194" t="str">
        <f aca="false">IF(Model!BC43=0,"",Model!BC43)</f>
        <v/>
      </c>
      <c r="BF40" s="194" t="str">
        <f aca="false">IF(Model!BD43=0,"",Model!BD43)</f>
        <v/>
      </c>
      <c r="BG40" s="194" t="str">
        <f aca="false">IF(Model!BE43=0,"",Model!BE43)</f>
        <v/>
      </c>
      <c r="BH40" s="194" t="str">
        <f aca="false">IF(Model!BF43=0,"",Model!BF43)</f>
        <v/>
      </c>
      <c r="BI40" s="194" t="str">
        <f aca="false">IF(Model!BG43=0,"",Model!BG43)</f>
        <v/>
      </c>
      <c r="BJ40" s="194" t="str">
        <f aca="false">IF(Model!BH43=0,"",Model!BH43)</f>
        <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SUM(G41:DB41)</f>
        <v>0</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str">
        <f aca="false">IF(Model!AQ44=0,"",Model!AQ44)</f>
        <v/>
      </c>
      <c r="AT41" s="194" t="str">
        <f aca="false">IF(Model!AR44=0,"",Model!AR44)</f>
        <v/>
      </c>
      <c r="AU41" s="194" t="str">
        <f aca="false">IF(Model!AS44=0,"",Model!AS44)</f>
        <v/>
      </c>
      <c r="AV41" s="194" t="str">
        <f aca="false">IF(Model!AT44=0,"",Model!AT44)</f>
        <v/>
      </c>
      <c r="AW41" s="194" t="str">
        <f aca="false">IF(Model!AU44=0,"",Model!AU44)</f>
        <v/>
      </c>
      <c r="AX41" s="194" t="str">
        <f aca="false">IF(Model!AV44=0,"",Model!AV44)</f>
        <v/>
      </c>
      <c r="AY41" s="194" t="str">
        <f aca="false">IF(Model!AW44=0,"",Model!AW44)</f>
        <v/>
      </c>
      <c r="AZ41" s="194" t="str">
        <f aca="false">IF(Model!AX44=0,"",Model!AX44)</f>
        <v/>
      </c>
      <c r="BA41" s="194" t="str">
        <f aca="false">IF(Model!AY44=0,"",Model!AY44)</f>
        <v/>
      </c>
      <c r="BB41" s="194" t="str">
        <f aca="false">IF(Model!AZ44=0,"",Model!AZ44)</f>
        <v/>
      </c>
      <c r="BC41" s="194" t="str">
        <f aca="false">IF(Model!BA44=0,"",Model!BA44)</f>
        <v/>
      </c>
      <c r="BD41" s="194" t="str">
        <f aca="false">IF(Model!BB44=0,"",Model!BB44)</f>
        <v/>
      </c>
      <c r="BE41" s="194" t="str">
        <f aca="false">IF(Model!BC44=0,"",Model!BC44)</f>
        <v/>
      </c>
      <c r="BF41" s="194" t="str">
        <f aca="false">IF(Model!BD44=0,"",Model!BD44)</f>
        <v/>
      </c>
      <c r="BG41" s="194" t="str">
        <f aca="false">IF(Model!BE44=0,"",Model!BE44)</f>
        <v/>
      </c>
      <c r="BH41" s="194" t="str">
        <f aca="false">IF(Model!BF44=0,"",Model!BF44)</f>
        <v/>
      </c>
      <c r="BI41" s="194" t="str">
        <f aca="false">IF(Model!BG44=0,"",Model!BG44)</f>
        <v/>
      </c>
      <c r="BJ41" s="194" t="str">
        <f aca="false">IF(Model!BH44=0,"",Model!BH44)</f>
        <v/>
      </c>
      <c r="BK41" s="194" t="str">
        <f aca="false">IF(Model!BI44=0,"",Model!BI44)</f>
        <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SUM(G42:DB42)</f>
        <v>0</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str">
        <f aca="false">IF(Model!AU45=0,"",Model!AU45)</f>
        <v/>
      </c>
      <c r="AX42" s="194" t="str">
        <f aca="false">IF(Model!AV45=0,"",Model!AV45)</f>
        <v/>
      </c>
      <c r="AY42" s="194" t="str">
        <f aca="false">IF(Model!AW45=0,"",Model!AW45)</f>
        <v/>
      </c>
      <c r="AZ42" s="194" t="str">
        <f aca="false">IF(Model!AX45=0,"",Model!AX45)</f>
        <v/>
      </c>
      <c r="BA42" s="194" t="str">
        <f aca="false">IF(Model!AY45=0,"",Model!AY45)</f>
        <v/>
      </c>
      <c r="BB42" s="194" t="str">
        <f aca="false">IF(Model!AZ45=0,"",Model!AZ45)</f>
        <v/>
      </c>
      <c r="BC42" s="194" t="str">
        <f aca="false">IF(Model!BA45=0,"",Model!BA45)</f>
        <v/>
      </c>
      <c r="BD42" s="194" t="str">
        <f aca="false">IF(Model!BB45=0,"",Model!BB45)</f>
        <v/>
      </c>
      <c r="BE42" s="194" t="str">
        <f aca="false">IF(Model!BC45=0,"",Model!BC45)</f>
        <v/>
      </c>
      <c r="BF42" s="194" t="str">
        <f aca="false">IF(Model!BD45=0,"",Model!BD45)</f>
        <v/>
      </c>
      <c r="BG42" s="194" t="str">
        <f aca="false">IF(Model!BE45=0,"",Model!BE45)</f>
        <v/>
      </c>
      <c r="BH42" s="194" t="str">
        <f aca="false">IF(Model!BF45=0,"",Model!BF45)</f>
        <v/>
      </c>
      <c r="BI42" s="194" t="str">
        <f aca="false">IF(Model!BG45=0,"",Model!BG45)</f>
        <v/>
      </c>
      <c r="BJ42" s="194" t="str">
        <f aca="false">IF(Model!BH45=0,"",Model!BH45)</f>
        <v/>
      </c>
      <c r="BK42" s="194" t="str">
        <f aca="false">IF(Model!BI45=0,"",Model!BI45)</f>
        <v/>
      </c>
      <c r="BL42" s="194" t="str">
        <f aca="false">IF(Model!BJ45=0,"",Model!BJ45)</f>
        <v/>
      </c>
      <c r="BM42" s="194" t="str">
        <f aca="false">IF(Model!BK45=0,"",Model!BK45)</f>
        <v/>
      </c>
      <c r="BN42" s="194" t="str">
        <f aca="false">IF(Model!BL45=0,"",Model!BL45)</f>
        <v/>
      </c>
      <c r="BO42" s="194" t="str">
        <f aca="false">IF(Model!BM45=0,"",Model!BM45)</f>
        <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SUM(G43:DB43)</f>
        <v>0</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str">
        <f aca="false">IF(Model!AV46=0,"",Model!AV46)</f>
        <v/>
      </c>
      <c r="AY43" s="194" t="str">
        <f aca="false">IF(Model!AW46=0,"",Model!AW46)</f>
        <v/>
      </c>
      <c r="AZ43" s="194" t="str">
        <f aca="false">IF(Model!AX46=0,"",Model!AX46)</f>
        <v/>
      </c>
      <c r="BA43" s="194" t="str">
        <f aca="false">IF(Model!AY46=0,"",Model!AY46)</f>
        <v/>
      </c>
      <c r="BB43" s="194" t="str">
        <f aca="false">IF(Model!AZ46=0,"",Model!AZ46)</f>
        <v/>
      </c>
      <c r="BC43" s="194" t="str">
        <f aca="false">IF(Model!BA46=0,"",Model!BA46)</f>
        <v/>
      </c>
      <c r="BD43" s="194" t="str">
        <f aca="false">IF(Model!BB46=0,"",Model!BB46)</f>
        <v/>
      </c>
      <c r="BE43" s="194" t="str">
        <f aca="false">IF(Model!BC46=0,"",Model!BC46)</f>
        <v/>
      </c>
      <c r="BF43" s="194" t="str">
        <f aca="false">IF(Model!BD46=0,"",Model!BD46)</f>
        <v/>
      </c>
      <c r="BG43" s="194" t="str">
        <f aca="false">IF(Model!BE46=0,"",Model!BE46)</f>
        <v/>
      </c>
      <c r="BH43" s="194" t="str">
        <f aca="false">IF(Model!BF46=0,"",Model!BF46)</f>
        <v/>
      </c>
      <c r="BI43" s="194" t="str">
        <f aca="false">IF(Model!BG46=0,"",Model!BG46)</f>
        <v/>
      </c>
      <c r="BJ43" s="194" t="str">
        <f aca="false">IF(Model!BH46=0,"",Model!BH46)</f>
        <v/>
      </c>
      <c r="BK43" s="194" t="str">
        <f aca="false">IF(Model!BI46=0,"",Model!BI46)</f>
        <v/>
      </c>
      <c r="BL43" s="194" t="str">
        <f aca="false">IF(Model!BJ46=0,"",Model!BJ46)</f>
        <v/>
      </c>
      <c r="BM43" s="194" t="str">
        <f aca="false">IF(Model!BK46=0,"",Model!BK46)</f>
        <v/>
      </c>
      <c r="BN43" s="194" t="str">
        <f aca="false">IF(Model!BL46=0,"",Model!BL46)</f>
        <v/>
      </c>
      <c r="BO43" s="194" t="str">
        <f aca="false">IF(Model!BM46=0,"",Model!BM46)</f>
        <v/>
      </c>
      <c r="BP43" s="194" t="str">
        <f aca="false">IF(Model!BN46=0,"",Model!BN46)</f>
        <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SUM(G44:DB44)</f>
        <v>0</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str">
        <f aca="false">IF(Model!AZ47=0,"",Model!AZ47)</f>
        <v/>
      </c>
      <c r="BC44" s="194" t="str">
        <f aca="false">IF(Model!BA47=0,"",Model!BA47)</f>
        <v/>
      </c>
      <c r="BD44" s="194" t="str">
        <f aca="false">IF(Model!BB47=0,"",Model!BB47)</f>
        <v/>
      </c>
      <c r="BE44" s="194" t="str">
        <f aca="false">IF(Model!BC47=0,"",Model!BC47)</f>
        <v/>
      </c>
      <c r="BF44" s="194" t="str">
        <f aca="false">IF(Model!BD47=0,"",Model!BD47)</f>
        <v/>
      </c>
      <c r="BG44" s="194" t="str">
        <f aca="false">IF(Model!BE47=0,"",Model!BE47)</f>
        <v/>
      </c>
      <c r="BH44" s="194" t="str">
        <f aca="false">IF(Model!BF47=0,"",Model!BF47)</f>
        <v/>
      </c>
      <c r="BI44" s="194" t="str">
        <f aca="false">IF(Model!BG47=0,"",Model!BG47)</f>
        <v/>
      </c>
      <c r="BJ44" s="194" t="str">
        <f aca="false">IF(Model!BH47=0,"",Model!BH47)</f>
        <v/>
      </c>
      <c r="BK44" s="194" t="str">
        <f aca="false">IF(Model!BI47=0,"",Model!BI47)</f>
        <v/>
      </c>
      <c r="BL44" s="194" t="str">
        <f aca="false">IF(Model!BJ47=0,"",Model!BJ47)</f>
        <v/>
      </c>
      <c r="BM44" s="194" t="str">
        <f aca="false">IF(Model!BK47=0,"",Model!BK47)</f>
        <v/>
      </c>
      <c r="BN44" s="194" t="str">
        <f aca="false">IF(Model!BL47=0,"",Model!BL47)</f>
        <v/>
      </c>
      <c r="BO44" s="194" t="str">
        <f aca="false">IF(Model!BM47=0,"",Model!BM47)</f>
        <v/>
      </c>
      <c r="BP44" s="194" t="str">
        <f aca="false">IF(Model!BN47=0,"",Model!BN47)</f>
        <v/>
      </c>
      <c r="BQ44" s="194" t="str">
        <f aca="false">IF(Model!BO47=0,"",Model!BO47)</f>
        <v/>
      </c>
      <c r="BR44" s="194" t="str">
        <f aca="false">IF(Model!BP47=0,"",Model!BP47)</f>
        <v/>
      </c>
      <c r="BS44" s="194" t="str">
        <f aca="false">IF(Model!BQ47=0,"",Model!BQ47)</f>
        <v/>
      </c>
      <c r="BT44" s="194" t="str">
        <f aca="false">IF(Model!BR47=0,"",Model!BR47)</f>
        <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SUM(G45:DB45)</f>
        <v>0</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str">
        <f aca="false">IF(Model!BA48=0,"",Model!BA48)</f>
        <v/>
      </c>
      <c r="BD45" s="194" t="str">
        <f aca="false">IF(Model!BB48=0,"",Model!BB48)</f>
        <v/>
      </c>
      <c r="BE45" s="194" t="str">
        <f aca="false">IF(Model!BC48=0,"",Model!BC48)</f>
        <v/>
      </c>
      <c r="BF45" s="194" t="str">
        <f aca="false">IF(Model!BD48=0,"",Model!BD48)</f>
        <v/>
      </c>
      <c r="BG45" s="194" t="str">
        <f aca="false">IF(Model!BE48=0,"",Model!BE48)</f>
        <v/>
      </c>
      <c r="BH45" s="194" t="str">
        <f aca="false">IF(Model!BF48=0,"",Model!BF48)</f>
        <v/>
      </c>
      <c r="BI45" s="194" t="str">
        <f aca="false">IF(Model!BG48=0,"",Model!BG48)</f>
        <v/>
      </c>
      <c r="BJ45" s="194" t="str">
        <f aca="false">IF(Model!BH48=0,"",Model!BH48)</f>
        <v/>
      </c>
      <c r="BK45" s="194" t="str">
        <f aca="false">IF(Model!BI48=0,"",Model!BI48)</f>
        <v/>
      </c>
      <c r="BL45" s="194" t="str">
        <f aca="false">IF(Model!BJ48=0,"",Model!BJ48)</f>
        <v/>
      </c>
      <c r="BM45" s="194" t="str">
        <f aca="false">IF(Model!BK48=0,"",Model!BK48)</f>
        <v/>
      </c>
      <c r="BN45" s="194" t="str">
        <f aca="false">IF(Model!BL48=0,"",Model!BL48)</f>
        <v/>
      </c>
      <c r="BO45" s="194" t="str">
        <f aca="false">IF(Model!BM48=0,"",Model!BM48)</f>
        <v/>
      </c>
      <c r="BP45" s="194" t="str">
        <f aca="false">IF(Model!BN48=0,"",Model!BN48)</f>
        <v/>
      </c>
      <c r="BQ45" s="194" t="str">
        <f aca="false">IF(Model!BO48=0,"",Model!BO48)</f>
        <v/>
      </c>
      <c r="BR45" s="194" t="str">
        <f aca="false">IF(Model!BP48=0,"",Model!BP48)</f>
        <v/>
      </c>
      <c r="BS45" s="194" t="str">
        <f aca="false">IF(Model!BQ48=0,"",Model!BQ48)</f>
        <v/>
      </c>
      <c r="BT45" s="194" t="str">
        <f aca="false">IF(Model!BR48=0,"",Model!BR48)</f>
        <v/>
      </c>
      <c r="BU45" s="194" t="str">
        <f aca="false">IF(Model!BS48=0,"",Model!BS48)</f>
        <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SUM(G46:DB46)</f>
        <v>0</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str">
        <f aca="false">IF(Model!BB49=0,"",Model!BB49)</f>
        <v/>
      </c>
      <c r="BE46" s="194" t="str">
        <f aca="false">IF(Model!BC49=0,"",Model!BC49)</f>
        <v/>
      </c>
      <c r="BF46" s="194" t="str">
        <f aca="false">IF(Model!BD49=0,"",Model!BD49)</f>
        <v/>
      </c>
      <c r="BG46" s="194" t="str">
        <f aca="false">IF(Model!BE49=0,"",Model!BE49)</f>
        <v/>
      </c>
      <c r="BH46" s="194" t="str">
        <f aca="false">IF(Model!BF49=0,"",Model!BF49)</f>
        <v/>
      </c>
      <c r="BI46" s="194" t="str">
        <f aca="false">IF(Model!BG49=0,"",Model!BG49)</f>
        <v/>
      </c>
      <c r="BJ46" s="194" t="str">
        <f aca="false">IF(Model!BH49=0,"",Model!BH49)</f>
        <v/>
      </c>
      <c r="BK46" s="194" t="str">
        <f aca="false">IF(Model!BI49=0,"",Model!BI49)</f>
        <v/>
      </c>
      <c r="BL46" s="194" t="str">
        <f aca="false">IF(Model!BJ49=0,"",Model!BJ49)</f>
        <v/>
      </c>
      <c r="BM46" s="194" t="str">
        <f aca="false">IF(Model!BK49=0,"",Model!BK49)</f>
        <v/>
      </c>
      <c r="BN46" s="194" t="str">
        <f aca="false">IF(Model!BL49=0,"",Model!BL49)</f>
        <v/>
      </c>
      <c r="BO46" s="194" t="str">
        <f aca="false">IF(Model!BM49=0,"",Model!BM49)</f>
        <v/>
      </c>
      <c r="BP46" s="194" t="str">
        <f aca="false">IF(Model!BN49=0,"",Model!BN49)</f>
        <v/>
      </c>
      <c r="BQ46" s="194" t="str">
        <f aca="false">IF(Model!BO49=0,"",Model!BO49)</f>
        <v/>
      </c>
      <c r="BR46" s="194" t="str">
        <f aca="false">IF(Model!BP49=0,"",Model!BP49)</f>
        <v/>
      </c>
      <c r="BS46" s="194" t="str">
        <f aca="false">IF(Model!BQ49=0,"",Model!BQ49)</f>
        <v/>
      </c>
      <c r="BT46" s="194" t="str">
        <f aca="false">IF(Model!BR49=0,"",Model!BR49)</f>
        <v/>
      </c>
      <c r="BU46" s="194" t="str">
        <f aca="false">IF(Model!BS49=0,"",Model!BS49)</f>
        <v/>
      </c>
      <c r="BV46" s="194" t="str">
        <f aca="false">IF(Model!BT49=0,"",Model!BT49)</f>
        <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SUM(G47:DB47)</f>
        <v>0</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str">
        <f aca="false">IF(Model!BC50=0,"",Model!BC50)</f>
        <v/>
      </c>
      <c r="BF47" s="194" t="str">
        <f aca="false">IF(Model!BD50=0,"",Model!BD50)</f>
        <v/>
      </c>
      <c r="BG47" s="194" t="str">
        <f aca="false">IF(Model!BE50=0,"",Model!BE50)</f>
        <v/>
      </c>
      <c r="BH47" s="194" t="str">
        <f aca="false">IF(Model!BF50=0,"",Model!BF50)</f>
        <v/>
      </c>
      <c r="BI47" s="194" t="str">
        <f aca="false">IF(Model!BG50=0,"",Model!BG50)</f>
        <v/>
      </c>
      <c r="BJ47" s="194" t="str">
        <f aca="false">IF(Model!BH50=0,"",Model!BH50)</f>
        <v/>
      </c>
      <c r="BK47" s="194" t="str">
        <f aca="false">IF(Model!BI50=0,"",Model!BI50)</f>
        <v/>
      </c>
      <c r="BL47" s="194" t="str">
        <f aca="false">IF(Model!BJ50=0,"",Model!BJ50)</f>
        <v/>
      </c>
      <c r="BM47" s="194" t="str">
        <f aca="false">IF(Model!BK50=0,"",Model!BK50)</f>
        <v/>
      </c>
      <c r="BN47" s="194" t="str">
        <f aca="false">IF(Model!BL50=0,"",Model!BL50)</f>
        <v/>
      </c>
      <c r="BO47" s="194" t="str">
        <f aca="false">IF(Model!BM50=0,"",Model!BM50)</f>
        <v/>
      </c>
      <c r="BP47" s="194" t="str">
        <f aca="false">IF(Model!BN50=0,"",Model!BN50)</f>
        <v/>
      </c>
      <c r="BQ47" s="194" t="str">
        <f aca="false">IF(Model!BO50=0,"",Model!BO50)</f>
        <v/>
      </c>
      <c r="BR47" s="194" t="str">
        <f aca="false">IF(Model!BP50=0,"",Model!BP50)</f>
        <v/>
      </c>
      <c r="BS47" s="194" t="str">
        <f aca="false">IF(Model!BQ50=0,"",Model!BQ50)</f>
        <v/>
      </c>
      <c r="BT47" s="194" t="str">
        <f aca="false">IF(Model!BR50=0,"",Model!BR50)</f>
        <v/>
      </c>
      <c r="BU47" s="194" t="str">
        <f aca="false">IF(Model!BS50=0,"",Model!BS50)</f>
        <v/>
      </c>
      <c r="BV47" s="194" t="str">
        <f aca="false">IF(Model!BT50=0,"",Model!BT50)</f>
        <v/>
      </c>
      <c r="BW47" s="194" t="str">
        <f aca="false">IF(Model!BU50=0,"",Model!BU50)</f>
        <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SUM(G48:DB48)</f>
        <v>0</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str">
        <f aca="false">IF(Model!BD51=0,"",Model!BD51)</f>
        <v/>
      </c>
      <c r="BG48" s="194" t="str">
        <f aca="false">IF(Model!BE51=0,"",Model!BE51)</f>
        <v/>
      </c>
      <c r="BH48" s="194" t="str">
        <f aca="false">IF(Model!BF51=0,"",Model!BF51)</f>
        <v/>
      </c>
      <c r="BI48" s="194" t="str">
        <f aca="false">IF(Model!BG51=0,"",Model!BG51)</f>
        <v/>
      </c>
      <c r="BJ48" s="194" t="str">
        <f aca="false">IF(Model!BH51=0,"",Model!BH51)</f>
        <v/>
      </c>
      <c r="BK48" s="194" t="str">
        <f aca="false">IF(Model!BI51=0,"",Model!BI51)</f>
        <v/>
      </c>
      <c r="BL48" s="194" t="str">
        <f aca="false">IF(Model!BJ51=0,"",Model!BJ51)</f>
        <v/>
      </c>
      <c r="BM48" s="194" t="str">
        <f aca="false">IF(Model!BK51=0,"",Model!BK51)</f>
        <v/>
      </c>
      <c r="BN48" s="194" t="str">
        <f aca="false">IF(Model!BL51=0,"",Model!BL51)</f>
        <v/>
      </c>
      <c r="BO48" s="194" t="str">
        <f aca="false">IF(Model!BM51=0,"",Model!BM51)</f>
        <v/>
      </c>
      <c r="BP48" s="194" t="str">
        <f aca="false">IF(Model!BN51=0,"",Model!BN51)</f>
        <v/>
      </c>
      <c r="BQ48" s="194" t="str">
        <f aca="false">IF(Model!BO51=0,"",Model!BO51)</f>
        <v/>
      </c>
      <c r="BR48" s="194" t="str">
        <f aca="false">IF(Model!BP51=0,"",Model!BP51)</f>
        <v/>
      </c>
      <c r="BS48" s="194" t="str">
        <f aca="false">IF(Model!BQ51=0,"",Model!BQ51)</f>
        <v/>
      </c>
      <c r="BT48" s="194" t="str">
        <f aca="false">IF(Model!BR51=0,"",Model!BR51)</f>
        <v/>
      </c>
      <c r="BU48" s="194" t="str">
        <f aca="false">IF(Model!BS51=0,"",Model!BS51)</f>
        <v/>
      </c>
      <c r="BV48" s="194" t="str">
        <f aca="false">IF(Model!BT51=0,"",Model!BT51)</f>
        <v/>
      </c>
      <c r="BW48" s="194" t="str">
        <f aca="false">IF(Model!BU51=0,"",Model!BU51)</f>
        <v/>
      </c>
      <c r="BX48" s="194" t="str">
        <f aca="false">IF(Model!BV51=0,"",Model!BV51)</f>
        <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SUM(G49:DB49)</f>
        <v>0</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str">
        <f aca="false">IF(Model!BE52=0,"",Model!BE52)</f>
        <v/>
      </c>
      <c r="BH49" s="194" t="str">
        <f aca="false">IF(Model!BF52=0,"",Model!BF52)</f>
        <v/>
      </c>
      <c r="BI49" s="194" t="str">
        <f aca="false">IF(Model!BG52=0,"",Model!BG52)</f>
        <v/>
      </c>
      <c r="BJ49" s="194" t="str">
        <f aca="false">IF(Model!BH52=0,"",Model!BH52)</f>
        <v/>
      </c>
      <c r="BK49" s="194" t="str">
        <f aca="false">IF(Model!BI52=0,"",Model!BI52)</f>
        <v/>
      </c>
      <c r="BL49" s="194" t="str">
        <f aca="false">IF(Model!BJ52=0,"",Model!BJ52)</f>
        <v/>
      </c>
      <c r="BM49" s="194" t="str">
        <f aca="false">IF(Model!BK52=0,"",Model!BK52)</f>
        <v/>
      </c>
      <c r="BN49" s="194" t="str">
        <f aca="false">IF(Model!BL52=0,"",Model!BL52)</f>
        <v/>
      </c>
      <c r="BO49" s="194" t="str">
        <f aca="false">IF(Model!BM52=0,"",Model!BM52)</f>
        <v/>
      </c>
      <c r="BP49" s="194" t="str">
        <f aca="false">IF(Model!BN52=0,"",Model!BN52)</f>
        <v/>
      </c>
      <c r="BQ49" s="194" t="str">
        <f aca="false">IF(Model!BO52=0,"",Model!BO52)</f>
        <v/>
      </c>
      <c r="BR49" s="194" t="str">
        <f aca="false">IF(Model!BP52=0,"",Model!BP52)</f>
        <v/>
      </c>
      <c r="BS49" s="194" t="str">
        <f aca="false">IF(Model!BQ52=0,"",Model!BQ52)</f>
        <v/>
      </c>
      <c r="BT49" s="194" t="str">
        <f aca="false">IF(Model!BR52=0,"",Model!BR52)</f>
        <v/>
      </c>
      <c r="BU49" s="194" t="str">
        <f aca="false">IF(Model!BS52=0,"",Model!BS52)</f>
        <v/>
      </c>
      <c r="BV49" s="194" t="str">
        <f aca="false">IF(Model!BT52=0,"",Model!BT52)</f>
        <v/>
      </c>
      <c r="BW49" s="194" t="str">
        <f aca="false">IF(Model!BU52=0,"",Model!BU52)</f>
        <v/>
      </c>
      <c r="BX49" s="194" t="str">
        <f aca="false">IF(Model!BV52=0,"",Model!BV52)</f>
        <v/>
      </c>
      <c r="BY49" s="194" t="str">
        <f aca="false">IF(Model!BW52=0,"",Model!BW52)</f>
        <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SUM(G50:DB50)</f>
        <v>0</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str">
        <f aca="false">IF(Model!BF53=0,"",Model!BF53)</f>
        <v/>
      </c>
      <c r="BI50" s="194" t="str">
        <f aca="false">IF(Model!BG53=0,"",Model!BG53)</f>
        <v/>
      </c>
      <c r="BJ50" s="194" t="str">
        <f aca="false">IF(Model!BH53=0,"",Model!BH53)</f>
        <v/>
      </c>
      <c r="BK50" s="194" t="str">
        <f aca="false">IF(Model!BI53=0,"",Model!BI53)</f>
        <v/>
      </c>
      <c r="BL50" s="194" t="str">
        <f aca="false">IF(Model!BJ53=0,"",Model!BJ53)</f>
        <v/>
      </c>
      <c r="BM50" s="194" t="str">
        <f aca="false">IF(Model!BK53=0,"",Model!BK53)</f>
        <v/>
      </c>
      <c r="BN50" s="194" t="str">
        <f aca="false">IF(Model!BL53=0,"",Model!BL53)</f>
        <v/>
      </c>
      <c r="BO50" s="194" t="str">
        <f aca="false">IF(Model!BM53=0,"",Model!BM53)</f>
        <v/>
      </c>
      <c r="BP50" s="194" t="str">
        <f aca="false">IF(Model!BN53=0,"",Model!BN53)</f>
        <v/>
      </c>
      <c r="BQ50" s="194" t="str">
        <f aca="false">IF(Model!BO53=0,"",Model!BO53)</f>
        <v/>
      </c>
      <c r="BR50" s="194" t="str">
        <f aca="false">IF(Model!BP53=0,"",Model!BP53)</f>
        <v/>
      </c>
      <c r="BS50" s="194" t="str">
        <f aca="false">IF(Model!BQ53=0,"",Model!BQ53)</f>
        <v/>
      </c>
      <c r="BT50" s="194" t="str">
        <f aca="false">IF(Model!BR53=0,"",Model!BR53)</f>
        <v/>
      </c>
      <c r="BU50" s="194" t="str">
        <f aca="false">IF(Model!BS53=0,"",Model!BS53)</f>
        <v/>
      </c>
      <c r="BV50" s="194" t="str">
        <f aca="false">IF(Model!BT53=0,"",Model!BT53)</f>
        <v/>
      </c>
      <c r="BW50" s="194" t="str">
        <f aca="false">IF(Model!BU53=0,"",Model!BU53)</f>
        <v/>
      </c>
      <c r="BX50" s="194" t="str">
        <f aca="false">IF(Model!BV53=0,"",Model!BV53)</f>
        <v/>
      </c>
      <c r="BY50" s="194" t="str">
        <f aca="false">IF(Model!BW53=0,"",Model!BW53)</f>
        <v/>
      </c>
      <c r="BZ50" s="194" t="str">
        <f aca="false">IF(Model!BX53=0,"",Model!BX53)</f>
        <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SUM(G51:DB51)</f>
        <v>0</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str">
        <f aca="false">IF(Model!BG54=0,"",Model!BG54)</f>
        <v/>
      </c>
      <c r="BJ51" s="194" t="str">
        <f aca="false">IF(Model!BH54=0,"",Model!BH54)</f>
        <v/>
      </c>
      <c r="BK51" s="194" t="str">
        <f aca="false">IF(Model!BI54=0,"",Model!BI54)</f>
        <v/>
      </c>
      <c r="BL51" s="194" t="str">
        <f aca="false">IF(Model!BJ54=0,"",Model!BJ54)</f>
        <v/>
      </c>
      <c r="BM51" s="194" t="str">
        <f aca="false">IF(Model!BK54=0,"",Model!BK54)</f>
        <v/>
      </c>
      <c r="BN51" s="194" t="str">
        <f aca="false">IF(Model!BL54=0,"",Model!BL54)</f>
        <v/>
      </c>
      <c r="BO51" s="194" t="str">
        <f aca="false">IF(Model!BM54=0,"",Model!BM54)</f>
        <v/>
      </c>
      <c r="BP51" s="194" t="str">
        <f aca="false">IF(Model!BN54=0,"",Model!BN54)</f>
        <v/>
      </c>
      <c r="BQ51" s="194" t="str">
        <f aca="false">IF(Model!BO54=0,"",Model!BO54)</f>
        <v/>
      </c>
      <c r="BR51" s="194" t="str">
        <f aca="false">IF(Model!BP54=0,"",Model!BP54)</f>
        <v/>
      </c>
      <c r="BS51" s="194" t="str">
        <f aca="false">IF(Model!BQ54=0,"",Model!BQ54)</f>
        <v/>
      </c>
      <c r="BT51" s="194" t="str">
        <f aca="false">IF(Model!BR54=0,"",Model!BR54)</f>
        <v/>
      </c>
      <c r="BU51" s="194" t="str">
        <f aca="false">IF(Model!BS54=0,"",Model!BS54)</f>
        <v/>
      </c>
      <c r="BV51" s="194" t="str">
        <f aca="false">IF(Model!BT54=0,"",Model!BT54)</f>
        <v/>
      </c>
      <c r="BW51" s="194" t="str">
        <f aca="false">IF(Model!BU54=0,"",Model!BU54)</f>
        <v/>
      </c>
      <c r="BX51" s="194" t="str">
        <f aca="false">IF(Model!BV54=0,"",Model!BV54)</f>
        <v/>
      </c>
      <c r="BY51" s="194" t="str">
        <f aca="false">IF(Model!BW54=0,"",Model!BW54)</f>
        <v/>
      </c>
      <c r="BZ51" s="194" t="str">
        <f aca="false">IF(Model!BX54=0,"",Model!BX54)</f>
        <v/>
      </c>
      <c r="CA51" s="194" t="str">
        <f aca="false">IF(Model!BY54=0,"",Model!BY54)</f>
        <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SUM(G52:DB52)</f>
        <v>0</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str">
        <f aca="false">IF(Model!BH55=0,"",Model!BH55)</f>
        <v/>
      </c>
      <c r="BK52" s="194" t="str">
        <f aca="false">IF(Model!BI55=0,"",Model!BI55)</f>
        <v/>
      </c>
      <c r="BL52" s="194" t="str">
        <f aca="false">IF(Model!BJ55=0,"",Model!BJ55)</f>
        <v/>
      </c>
      <c r="BM52" s="194" t="str">
        <f aca="false">IF(Model!BK55=0,"",Model!BK55)</f>
        <v/>
      </c>
      <c r="BN52" s="194" t="str">
        <f aca="false">IF(Model!BL55=0,"",Model!BL55)</f>
        <v/>
      </c>
      <c r="BO52" s="194" t="str">
        <f aca="false">IF(Model!BM55=0,"",Model!BM55)</f>
        <v/>
      </c>
      <c r="BP52" s="194" t="str">
        <f aca="false">IF(Model!BN55=0,"",Model!BN55)</f>
        <v/>
      </c>
      <c r="BQ52" s="194" t="str">
        <f aca="false">IF(Model!BO55=0,"",Model!BO55)</f>
        <v/>
      </c>
      <c r="BR52" s="194" t="str">
        <f aca="false">IF(Model!BP55=0,"",Model!BP55)</f>
        <v/>
      </c>
      <c r="BS52" s="194" t="str">
        <f aca="false">IF(Model!BQ55=0,"",Model!BQ55)</f>
        <v/>
      </c>
      <c r="BT52" s="194" t="str">
        <f aca="false">IF(Model!BR55=0,"",Model!BR55)</f>
        <v/>
      </c>
      <c r="BU52" s="194" t="str">
        <f aca="false">IF(Model!BS55=0,"",Model!BS55)</f>
        <v/>
      </c>
      <c r="BV52" s="194" t="str">
        <f aca="false">IF(Model!BT55=0,"",Model!BT55)</f>
        <v/>
      </c>
      <c r="BW52" s="194" t="str">
        <f aca="false">IF(Model!BU55=0,"",Model!BU55)</f>
        <v/>
      </c>
      <c r="BX52" s="194" t="str">
        <f aca="false">IF(Model!BV55=0,"",Model!BV55)</f>
        <v/>
      </c>
      <c r="BY52" s="194" t="str">
        <f aca="false">IF(Model!BW55=0,"",Model!BW55)</f>
        <v/>
      </c>
      <c r="BZ52" s="194" t="str">
        <f aca="false">IF(Model!BX55=0,"",Model!BX55)</f>
        <v/>
      </c>
      <c r="CA52" s="194" t="str">
        <f aca="false">IF(Model!BY55=0,"",Model!BY55)</f>
        <v/>
      </c>
      <c r="CB52" s="194" t="str">
        <f aca="false">IF(Model!BZ55=0,"",Model!BZ55)</f>
        <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589</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0</v>
      </c>
      <c r="AE53" s="195" t="n">
        <f aca="false">SUM(AE28:AE52)</f>
        <v>0</v>
      </c>
      <c r="AF53" s="195" t="n">
        <f aca="false">SUM(AF28:AF52)</f>
        <v>0</v>
      </c>
      <c r="AG53" s="195" t="n">
        <f aca="false">SUM(AG28:AG52)</f>
        <v>0</v>
      </c>
      <c r="AH53" s="195" t="n">
        <f aca="false">SUM(AH28:AH52)</f>
        <v>0</v>
      </c>
      <c r="AI53" s="195" t="n">
        <f aca="false">SUM(AI28:AI52)</f>
        <v>0</v>
      </c>
      <c r="AJ53" s="195" t="n">
        <f aca="false">SUM(AJ28:AJ52)</f>
        <v>0</v>
      </c>
      <c r="AK53" s="195" t="n">
        <f aca="false">SUM(AK28:AK52)</f>
        <v>0</v>
      </c>
      <c r="AL53" s="195" t="n">
        <f aca="false">SUM(AL28:AL52)</f>
        <v>0</v>
      </c>
      <c r="AM53" s="195" t="n">
        <f aca="false">SUM(AM28:AM52)</f>
        <v>0</v>
      </c>
      <c r="AN53" s="195" t="n">
        <f aca="false">SUM(AN28:AN52)</f>
        <v>0</v>
      </c>
      <c r="AO53" s="195" t="n">
        <f aca="false">SUM(AO28:AO52)</f>
        <v>0</v>
      </c>
      <c r="AP53" s="195" t="n">
        <f aca="false">SUM(AP28:AP52)</f>
        <v>0</v>
      </c>
      <c r="AQ53" s="195" t="n">
        <f aca="false">SUM(AQ28:AQ52)</f>
        <v>0</v>
      </c>
      <c r="AR53" s="195" t="n">
        <f aca="false">SUM(AR28:AR52)</f>
        <v>0</v>
      </c>
      <c r="AS53" s="195" t="n">
        <f aca="false">SUM(AS28:AS52)</f>
        <v>0</v>
      </c>
      <c r="AT53" s="195" t="n">
        <f aca="false">SUM(AT28:AT52)</f>
        <v>0</v>
      </c>
      <c r="AU53" s="195" t="n">
        <f aca="false">SUM(AU28:AU52)</f>
        <v>0</v>
      </c>
      <c r="AV53" s="195" t="n">
        <f aca="false">SUM(AV28:AV52)</f>
        <v>0</v>
      </c>
      <c r="AW53" s="195" t="n">
        <f aca="false">SUM(AW28:AW52)</f>
        <v>0</v>
      </c>
      <c r="AX53" s="195" t="n">
        <f aca="false">SUM(AX28:AX52)</f>
        <v>0</v>
      </c>
      <c r="AY53" s="195" t="n">
        <f aca="false">SUM(AY28:AY52)</f>
        <v>0</v>
      </c>
      <c r="AZ53" s="195" t="n">
        <f aca="false">SUM(AZ28:AZ52)</f>
        <v>0</v>
      </c>
      <c r="BA53" s="195" t="n">
        <f aca="false">SUM(BA28:BA52)</f>
        <v>0</v>
      </c>
      <c r="BB53" s="195" t="n">
        <f aca="false">SUM(BB28:BB52)</f>
        <v>0</v>
      </c>
      <c r="BC53" s="195" t="n">
        <f aca="false">SUM(BC28:BC52)</f>
        <v>0</v>
      </c>
      <c r="BD53" s="195" t="n">
        <f aca="false">SUM(BD28:BD52)</f>
        <v>0</v>
      </c>
      <c r="BE53" s="195" t="n">
        <f aca="false">SUM(BE28:BE52)</f>
        <v>0</v>
      </c>
      <c r="BF53" s="195" t="n">
        <f aca="false">SUM(BF28:BF52)</f>
        <v>0</v>
      </c>
      <c r="BG53" s="195" t="n">
        <f aca="false">SUM(BG28:BG52)</f>
        <v>0</v>
      </c>
      <c r="BH53" s="195" t="n">
        <f aca="false">SUM(BH28:BH52)</f>
        <v>0</v>
      </c>
      <c r="BI53" s="195" t="n">
        <f aca="false">SUM(BI28:BI52)</f>
        <v>0</v>
      </c>
      <c r="BJ53" s="195" t="n">
        <f aca="false">SUM(BJ28:BJ52)</f>
        <v>0</v>
      </c>
      <c r="BK53" s="195" t="n">
        <f aca="false">SUM(BK28:BK52)</f>
        <v>0</v>
      </c>
      <c r="BL53" s="195" t="n">
        <f aca="false">SUM(BL28:BL52)</f>
        <v>0</v>
      </c>
      <c r="BM53" s="195" t="n">
        <f aca="false">SUM(BM28:BM52)</f>
        <v>0</v>
      </c>
      <c r="BN53" s="195" t="n">
        <f aca="false">SUM(BN28:BN52)</f>
        <v>0</v>
      </c>
      <c r="BO53" s="195" t="n">
        <f aca="false">SUM(BO28:BO52)</f>
        <v>0</v>
      </c>
      <c r="BP53" s="195" t="n">
        <f aca="false">SUM(BP28:BP52)</f>
        <v>0</v>
      </c>
      <c r="BQ53" s="195" t="n">
        <f aca="false">SUM(BQ28:BQ52)</f>
        <v>0</v>
      </c>
      <c r="BR53" s="195" t="n">
        <f aca="false">SUM(BR28:BR52)</f>
        <v>0</v>
      </c>
      <c r="BS53" s="195" t="n">
        <f aca="false">SUM(BS28:BS52)</f>
        <v>0</v>
      </c>
      <c r="BT53" s="195" t="n">
        <f aca="false">SUM(BT28:BT52)</f>
        <v>0</v>
      </c>
      <c r="BU53" s="195" t="n">
        <f aca="false">SUM(BU28:BU52)</f>
        <v>0</v>
      </c>
      <c r="BV53" s="195" t="n">
        <f aca="false">SUM(BV28:BV52)</f>
        <v>0</v>
      </c>
      <c r="BW53" s="195" t="n">
        <f aca="false">SUM(BW28:BW52)</f>
        <v>0</v>
      </c>
      <c r="BX53" s="195" t="n">
        <f aca="false">SUM(BX28:BX52)</f>
        <v>0</v>
      </c>
      <c r="BY53" s="195" t="n">
        <f aca="false">SUM(BY28:BY52)</f>
        <v>0</v>
      </c>
      <c r="BZ53" s="195" t="n">
        <f aca="false">SUM(BZ28:BZ52)</f>
        <v>0</v>
      </c>
      <c r="CA53" s="195" t="n">
        <f aca="false">SUM(CA28:CA52)</f>
        <v>0</v>
      </c>
      <c r="CB53" s="195" t="n">
        <f aca="false">SUM(CB28:CB52)</f>
        <v>0</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590</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0</v>
      </c>
      <c r="AE54" s="196" t="n">
        <f aca="false">COUNT(AE28:AE52)</f>
        <v>0</v>
      </c>
      <c r="AF54" s="196" t="n">
        <f aca="false">COUNT(AF28:AF52)</f>
        <v>0</v>
      </c>
      <c r="AG54" s="196" t="n">
        <f aca="false">COUNT(AG28:AG52)</f>
        <v>0</v>
      </c>
      <c r="AH54" s="196" t="n">
        <f aca="false">COUNT(AH28:AH52)</f>
        <v>0</v>
      </c>
      <c r="AI54" s="196" t="n">
        <f aca="false">COUNT(AI28:AI52)</f>
        <v>0</v>
      </c>
      <c r="AJ54" s="196" t="n">
        <f aca="false">COUNT(AJ28:AJ52)</f>
        <v>0</v>
      </c>
      <c r="AK54" s="196" t="n">
        <f aca="false">COUNT(AK28:AK52)</f>
        <v>0</v>
      </c>
      <c r="AL54" s="196" t="n">
        <f aca="false">COUNT(AL28:AL52)</f>
        <v>0</v>
      </c>
      <c r="AM54" s="196" t="n">
        <f aca="false">COUNT(AM28:AM52)</f>
        <v>0</v>
      </c>
      <c r="AN54" s="196" t="n">
        <f aca="false">COUNT(AN28:AN52)</f>
        <v>0</v>
      </c>
      <c r="AO54" s="196" t="n">
        <f aca="false">COUNT(AO28:AO52)</f>
        <v>0</v>
      </c>
      <c r="AP54" s="196" t="n">
        <f aca="false">COUNT(AP28:AP52)</f>
        <v>0</v>
      </c>
      <c r="AQ54" s="196" t="n">
        <f aca="false">COUNT(AQ28:AQ52)</f>
        <v>0</v>
      </c>
      <c r="AR54" s="196" t="n">
        <f aca="false">COUNT(AR28:AR52)</f>
        <v>0</v>
      </c>
      <c r="AS54" s="196" t="n">
        <f aca="false">COUNT(AS28:AS52)</f>
        <v>0</v>
      </c>
      <c r="AT54" s="196" t="n">
        <f aca="false">COUNT(AT28:AT52)</f>
        <v>0</v>
      </c>
      <c r="AU54" s="196" t="n">
        <f aca="false">COUNT(AU28:AU52)</f>
        <v>0</v>
      </c>
      <c r="AV54" s="196" t="n">
        <f aca="false">COUNT(AV28:AV52)</f>
        <v>0</v>
      </c>
      <c r="AW54" s="196" t="n">
        <f aca="false">COUNT(AW28:AW52)</f>
        <v>0</v>
      </c>
      <c r="AX54" s="196" t="n">
        <f aca="false">COUNT(AX28:AX52)</f>
        <v>0</v>
      </c>
      <c r="AY54" s="196" t="n">
        <f aca="false">COUNT(AY28:AY52)</f>
        <v>0</v>
      </c>
      <c r="AZ54" s="196" t="n">
        <f aca="false">COUNT(AZ28:AZ52)</f>
        <v>0</v>
      </c>
      <c r="BA54" s="196" t="n">
        <f aca="false">COUNT(BA28:BA52)</f>
        <v>0</v>
      </c>
      <c r="BB54" s="196" t="n">
        <f aca="false">COUNT(BB28:BB52)</f>
        <v>0</v>
      </c>
      <c r="BC54" s="196" t="n">
        <f aca="false">COUNT(BC28:BC52)</f>
        <v>0</v>
      </c>
      <c r="BD54" s="196" t="n">
        <f aca="false">COUNT(BD28:BD52)</f>
        <v>0</v>
      </c>
      <c r="BE54" s="196" t="n">
        <f aca="false">COUNT(BE28:BE52)</f>
        <v>0</v>
      </c>
      <c r="BF54" s="196" t="n">
        <f aca="false">COUNT(BF28:BF52)</f>
        <v>0</v>
      </c>
      <c r="BG54" s="196" t="n">
        <f aca="false">COUNT(BG28:BG52)</f>
        <v>0</v>
      </c>
      <c r="BH54" s="196" t="n">
        <f aca="false">COUNT(BH28:BH52)</f>
        <v>0</v>
      </c>
      <c r="BI54" s="196" t="n">
        <f aca="false">COUNT(BI28:BI52)</f>
        <v>0</v>
      </c>
      <c r="BJ54" s="196" t="n">
        <f aca="false">COUNT(BJ28:BJ52)</f>
        <v>0</v>
      </c>
      <c r="BK54" s="196" t="n">
        <f aca="false">COUNT(BK28:BK52)</f>
        <v>0</v>
      </c>
      <c r="BL54" s="196" t="n">
        <f aca="false">COUNT(BL28:BL52)</f>
        <v>0</v>
      </c>
      <c r="BM54" s="196" t="n">
        <f aca="false">COUNT(BM28:BM52)</f>
        <v>0</v>
      </c>
      <c r="BN54" s="196" t="n">
        <f aca="false">COUNT(BN28:BN52)</f>
        <v>0</v>
      </c>
      <c r="BO54" s="196" t="n">
        <f aca="false">COUNT(BO28:BO52)</f>
        <v>0</v>
      </c>
      <c r="BP54" s="196" t="n">
        <f aca="false">COUNT(BP28:BP52)</f>
        <v>0</v>
      </c>
      <c r="BQ54" s="196" t="n">
        <f aca="false">COUNT(BQ28:BQ52)</f>
        <v>0</v>
      </c>
      <c r="BR54" s="196" t="n">
        <f aca="false">COUNT(BR28:BR52)</f>
        <v>0</v>
      </c>
      <c r="BS54" s="196" t="n">
        <f aca="false">COUNT(BS28:BS52)</f>
        <v>0</v>
      </c>
      <c r="BT54" s="196" t="n">
        <f aca="false">COUNT(BT28:BT52)</f>
        <v>0</v>
      </c>
      <c r="BU54" s="196" t="n">
        <f aca="false">COUNT(BU28:BU52)</f>
        <v>0</v>
      </c>
      <c r="BV54" s="196" t="n">
        <f aca="false">COUNT(BV28:BV52)</f>
        <v>0</v>
      </c>
      <c r="BW54" s="196" t="n">
        <f aca="false">COUNT(BW28:BW52)</f>
        <v>0</v>
      </c>
      <c r="BX54" s="196" t="n">
        <f aca="false">COUNT(BX28:BX52)</f>
        <v>0</v>
      </c>
      <c r="BY54" s="196" t="n">
        <f aca="false">COUNT(BY28:BY52)</f>
        <v>0</v>
      </c>
      <c r="BZ54" s="196" t="n">
        <f aca="false">COUNT(BZ28:BZ52)</f>
        <v>0</v>
      </c>
      <c r="CA54" s="196" t="n">
        <f aca="false">COUNT(CA28:CA52)</f>
        <v>0</v>
      </c>
      <c r="CB54" s="196" t="n">
        <f aca="false">COUNT(CB28:CB52)</f>
        <v>0</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591</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846380.631338765</v>
      </c>
      <c r="Q55" s="198" t="n">
        <f aca="false">Model!O10+Model!O11+Model!O56</f>
        <v>841196.977819715</v>
      </c>
      <c r="R55" s="198" t="n">
        <f aca="false">Model!P10+Model!P11+Model!P56</f>
        <v>868594.557819716</v>
      </c>
      <c r="S55" s="198" t="n">
        <f aca="false">Model!Q10+Model!Q11+Model!Q56</f>
        <v>817134.187819715</v>
      </c>
      <c r="T55" s="198" t="n">
        <f aca="false">Model!R10+Model!R11+Model!R56</f>
        <v>773814.917819715</v>
      </c>
      <c r="U55" s="198" t="n">
        <f aca="false">Model!S10+Model!S11+Model!S56</f>
        <v>786197.507819715</v>
      </c>
      <c r="V55" s="198" t="n">
        <f aca="false">Model!T10+Model!T11+Model!T56</f>
        <v>880272.307819715</v>
      </c>
      <c r="W55" s="198" t="n">
        <f aca="false">Model!U10+Model!U11+Model!U56</f>
        <v>771831.337819715</v>
      </c>
      <c r="X55" s="198" t="n">
        <f aca="false">Model!V10+Model!V11+Model!V56</f>
        <v>846118.707819715</v>
      </c>
      <c r="Y55" s="198" t="n">
        <f aca="false">Model!W10+Model!W11+Model!W56</f>
        <v>667061.137819715</v>
      </c>
      <c r="Z55" s="198" t="n">
        <f aca="false">Model!X10+Model!X11+Model!X56</f>
        <v>841676.677819715</v>
      </c>
      <c r="AA55" s="198" t="n">
        <f aca="false">Model!Y10+Model!Y11+Model!Y56</f>
        <v>679915.857819715</v>
      </c>
      <c r="AB55" s="198" t="n">
        <f aca="false">Model!Z10+Model!Z11+Model!Z56</f>
        <v>806262.037819715</v>
      </c>
      <c r="AC55" s="198" t="n">
        <f aca="false">Model!AA10+Model!AA11+Model!AA56</f>
        <v>835500.691180855</v>
      </c>
      <c r="AD55" s="198" t="n">
        <f aca="false">Model!AB10+Model!AB11+Model!AB56</f>
        <v>649168.969080353</v>
      </c>
      <c r="AE55" s="198" t="n">
        <f aca="false">Model!AC10+Model!AC11+Model!AC56</f>
        <v>420443.499836798</v>
      </c>
      <c r="AF55" s="198" t="n">
        <f aca="false">Model!AD10+Model!AD11+Model!AD56</f>
        <v>443393.409836798</v>
      </c>
      <c r="AG55" s="198" t="n">
        <f aca="false">Model!AE10+Model!AE11+Model!AE56</f>
        <v>434325.419836798</v>
      </c>
      <c r="AH55" s="198" t="n">
        <f aca="false">Model!AF10+Model!AF11+Model!AF56</f>
        <v>603945.23395151</v>
      </c>
      <c r="AI55" s="198" t="n">
        <f aca="false">Model!AG10+Model!AG11+Model!AG56</f>
        <v>514042.322203035</v>
      </c>
      <c r="AJ55" s="198" t="n">
        <f aca="false">Model!AH10+Model!AH11+Model!AH56</f>
        <v>377348.999241135</v>
      </c>
      <c r="AK55" s="198" t="n">
        <f aca="false">Model!AI10+Model!AI11+Model!AI56</f>
        <v>371182.129241135</v>
      </c>
      <c r="AL55" s="198" t="n">
        <f aca="false">Model!AJ10+Model!AJ11+Model!AJ56</f>
        <v>376553.228808885</v>
      </c>
      <c r="AM55" s="198" t="n">
        <f aca="false">Model!AK10+Model!AK11+Model!AK56</f>
        <v>122218.81</v>
      </c>
      <c r="AN55" s="198" t="n">
        <f aca="false">Model!AL10+Model!AL11+Model!AL56</f>
        <v>136528.88</v>
      </c>
      <c r="AO55" s="198" t="n">
        <f aca="false">Model!AM10+Model!AM11+Model!AM56</f>
        <v>148410.66</v>
      </c>
      <c r="AP55" s="198" t="n">
        <f aca="false">Model!AN10+Model!AN11+Model!AN56</f>
        <v>39928.61</v>
      </c>
      <c r="AQ55" s="198" t="n">
        <f aca="false">Model!AO10+Model!AO11+Model!AO56</f>
        <v>0</v>
      </c>
      <c r="AR55" s="198" t="n">
        <f aca="false">Model!AP10+Model!AP11+Model!AP56</f>
        <v>0</v>
      </c>
      <c r="AS55" s="198" t="n">
        <f aca="false">Model!AQ10+Model!AQ11+Model!AQ56</f>
        <v>0</v>
      </c>
      <c r="AT55" s="198" t="n">
        <f aca="false">Model!AR10+Model!AR11+Model!AR56</f>
        <v>0</v>
      </c>
      <c r="AU55" s="198" t="n">
        <f aca="false">Model!AS10+Model!AS11+Model!AS56</f>
        <v>0</v>
      </c>
      <c r="AV55" s="198" t="n">
        <f aca="false">Model!AT10+Model!AT11+Model!AT56</f>
        <v>0</v>
      </c>
      <c r="AW55" s="198" t="n">
        <f aca="false">Model!AU10+Model!AU11+Model!AU56</f>
        <v>0</v>
      </c>
      <c r="AX55" s="198" t="n">
        <f aca="false">Model!AV10+Model!AV11+Model!AV56</f>
        <v>0</v>
      </c>
      <c r="AY55" s="198" t="n">
        <f aca="false">Model!AW10+Model!AW11+Model!AW56</f>
        <v>0</v>
      </c>
      <c r="AZ55" s="198" t="n">
        <f aca="false">Model!AX10+Model!AX11+Model!AX56</f>
        <v>0</v>
      </c>
      <c r="BA55" s="198" t="n">
        <f aca="false">Model!AY10+Model!AY11+Model!AY56</f>
        <v>0</v>
      </c>
      <c r="BB55" s="198" t="n">
        <f aca="false">Model!AZ10+Model!AZ11+Model!AZ56</f>
        <v>0</v>
      </c>
      <c r="BC55" s="198" t="n">
        <f aca="false">Model!BA10+Model!BA11+Model!BA56</f>
        <v>0</v>
      </c>
      <c r="BD55" s="198" t="n">
        <f aca="false">Model!BB10+Model!BB11+Model!BB56</f>
        <v>0</v>
      </c>
      <c r="BE55" s="198" t="n">
        <f aca="false">Model!BC10+Model!BC11+Model!BC56</f>
        <v>0</v>
      </c>
      <c r="BF55" s="198" t="n">
        <f aca="false">Model!BD10+Model!BD11+Model!BD56</f>
        <v>0</v>
      </c>
      <c r="BG55" s="198" t="n">
        <f aca="false">Model!BE10+Model!BE11+Model!BE56</f>
        <v>0</v>
      </c>
      <c r="BH55" s="198" t="n">
        <f aca="false">Model!BF10+Model!BF11+Model!BF56</f>
        <v>0</v>
      </c>
      <c r="BI55" s="198" t="n">
        <f aca="false">Model!BG10+Model!BG11+Model!BG56</f>
        <v>0</v>
      </c>
      <c r="BJ55" s="198" t="n">
        <f aca="false">Model!BH10+Model!BH11+Model!BH56</f>
        <v>0</v>
      </c>
      <c r="BK55" s="198" t="n">
        <f aca="false">Model!BI10+Model!BI11+Model!BI56</f>
        <v>0</v>
      </c>
      <c r="BL55" s="198" t="n">
        <f aca="false">Model!BJ10+Model!BJ11+Model!BJ56</f>
        <v>0</v>
      </c>
      <c r="BM55" s="198" t="n">
        <f aca="false">Model!BK10+Model!BK11+Model!BK56</f>
        <v>0</v>
      </c>
      <c r="BN55" s="198" t="n">
        <f aca="false">Model!BL10+Model!BL11+Model!BL56</f>
        <v>0</v>
      </c>
      <c r="BO55" s="198" t="n">
        <f aca="false">Model!BM10+Model!BM11+Model!BM56</f>
        <v>0</v>
      </c>
      <c r="BP55" s="198" t="n">
        <f aca="false">Model!BN10+Model!BN11+Model!BN56</f>
        <v>0</v>
      </c>
      <c r="BQ55" s="198" t="n">
        <f aca="false">Model!BO10+Model!BO11+Model!BO56</f>
        <v>0</v>
      </c>
      <c r="BR55" s="198" t="n">
        <f aca="false">Model!BP10+Model!BP11+Model!BP56</f>
        <v>0</v>
      </c>
      <c r="BS55" s="198" t="n">
        <f aca="false">Model!BQ10+Model!BQ11+Model!BQ56</f>
        <v>0</v>
      </c>
      <c r="BT55" s="198" t="n">
        <f aca="false">Model!BR10+Model!BR11+Model!BR56</f>
        <v>0</v>
      </c>
      <c r="BU55" s="198" t="n">
        <f aca="false">Model!BS10+Model!BS11+Model!BS56</f>
        <v>0</v>
      </c>
      <c r="BV55" s="198" t="n">
        <f aca="false">Model!BT10+Model!BT11+Model!BT56</f>
        <v>0</v>
      </c>
      <c r="BW55" s="198" t="n">
        <f aca="false">Model!BU10+Model!BU11+Model!BU56</f>
        <v>0</v>
      </c>
      <c r="BX55" s="198" t="n">
        <f aca="false">Model!BV10+Model!BV11+Model!BV56</f>
        <v>0</v>
      </c>
      <c r="BY55" s="198" t="n">
        <f aca="false">Model!BW10+Model!BW11+Model!BW56</f>
        <v>0</v>
      </c>
      <c r="BZ55" s="198" t="n">
        <f aca="false">Model!BX10+Model!BX11+Model!BX56</f>
        <v>0</v>
      </c>
      <c r="CA55" s="198" t="n">
        <f aca="false">Model!BY10+Model!BY11+Model!BY56</f>
        <v>0</v>
      </c>
      <c r="CB55" s="198" t="n">
        <f aca="false">Model!BZ10+Model!BZ11+Model!BZ56</f>
        <v>0</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592</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6498594.46622125</v>
      </c>
      <c r="Q56" s="201" t="n">
        <f aca="false">Q21+Q53+Q55</f>
        <v>6520121.54458745</v>
      </c>
      <c r="R56" s="201" t="n">
        <f aca="false">R21+R53+R55</f>
        <v>7237808.46961955</v>
      </c>
      <c r="S56" s="201" t="n">
        <f aca="false">S21+S53+S55</f>
        <v>7187513.0293788</v>
      </c>
      <c r="T56" s="201" t="n">
        <f aca="false">T21+T53+T55</f>
        <v>7122856.6588821</v>
      </c>
      <c r="U56" s="201" t="n">
        <f aca="false">U21+U53+U55</f>
        <v>7449368.0151026</v>
      </c>
      <c r="V56" s="201" t="n">
        <f aca="false">V21+V53+V55</f>
        <v>8486106.48991955</v>
      </c>
      <c r="W56" s="201" t="n">
        <f aca="false">W21+W53+W55</f>
        <v>7741598.5549738</v>
      </c>
      <c r="X56" s="201" t="n">
        <f aca="false">X21+X53+X55</f>
        <v>8269238.86189845</v>
      </c>
      <c r="Y56" s="201" t="n">
        <f aca="false">Y21+Y53+Y55</f>
        <v>6758594.866593</v>
      </c>
      <c r="Z56" s="201" t="n">
        <f aca="false">Z21+Z53+Z55</f>
        <v>7990179.6466445</v>
      </c>
      <c r="AA56" s="201" t="n">
        <f aca="false">AA21+AA53+AA55</f>
        <v>6424867.1356432</v>
      </c>
      <c r="AB56" s="201" t="n">
        <f aca="false">AB21+AB53+AB55</f>
        <v>7122207.88467065</v>
      </c>
      <c r="AC56" s="201" t="n">
        <f aca="false">AC21+AC53+AC55</f>
        <v>6283573.53858915</v>
      </c>
      <c r="AD56" s="201" t="n">
        <f aca="false">AD21+AD53+AD55</f>
        <v>4829696.02791735</v>
      </c>
      <c r="AE56" s="201" t="n">
        <f aca="false">AE21+AE53+AE55</f>
        <v>3617676.431673</v>
      </c>
      <c r="AF56" s="201" t="n">
        <f aca="false">AF21+AF53+AF55</f>
        <v>3502306.0745615</v>
      </c>
      <c r="AG56" s="201" t="n">
        <f aca="false">AG21+AG53+AG55</f>
        <v>3123417.58721975</v>
      </c>
      <c r="AH56" s="201" t="n">
        <f aca="false">AH21+AH53+AH55</f>
        <v>3091258.55065875</v>
      </c>
      <c r="AI56" s="201" t="n">
        <f aca="false">AI21+AI53+AI55</f>
        <v>3357052.262028</v>
      </c>
      <c r="AJ56" s="201" t="n">
        <f aca="false">AJ21+AJ53+AJ55</f>
        <v>2838732.215225</v>
      </c>
      <c r="AK56" s="201" t="n">
        <f aca="false">AK21+AK53+AK55</f>
        <v>2701450.74408</v>
      </c>
      <c r="AL56" s="201" t="n">
        <f aca="false">AL21+AL53+AL55</f>
        <v>1627382.762285</v>
      </c>
      <c r="AM56" s="201" t="n">
        <f aca="false">AM21+AM53+AM55</f>
        <v>989150.11</v>
      </c>
      <c r="AN56" s="201" t="n">
        <f aca="false">AN21+AN53+AN55</f>
        <v>1104965.39</v>
      </c>
      <c r="AO56" s="201" t="n">
        <f aca="false">AO21+AO53+AO55</f>
        <v>1201127.88</v>
      </c>
      <c r="AP56" s="201" t="n">
        <f aca="false">AP21+AP53+AP55</f>
        <v>323153.08</v>
      </c>
      <c r="AQ56" s="201" t="n">
        <f aca="false">AQ21+AQ53+AQ55</f>
        <v>0</v>
      </c>
      <c r="AR56" s="201" t="n">
        <f aca="false">AR21+AR53+AR55</f>
        <v>0</v>
      </c>
      <c r="AS56" s="201" t="n">
        <f aca="false">AS21+AS53+AS55</f>
        <v>0</v>
      </c>
      <c r="AT56" s="201" t="n">
        <f aca="false">AT21+AT53+AT55</f>
        <v>0</v>
      </c>
      <c r="AU56" s="201" t="n">
        <f aca="false">AU21+AU53+AU55</f>
        <v>0</v>
      </c>
      <c r="AV56" s="201" t="n">
        <f aca="false">AV21+AV53+AV55</f>
        <v>0</v>
      </c>
      <c r="AW56" s="201" t="n">
        <f aca="false">AW21+AW53+AW55</f>
        <v>0</v>
      </c>
      <c r="AX56" s="201" t="n">
        <f aca="false">AX21+AX53+AX55</f>
        <v>0</v>
      </c>
      <c r="AY56" s="201" t="n">
        <f aca="false">AY21+AY53+AY55</f>
        <v>0</v>
      </c>
      <c r="AZ56" s="201" t="n">
        <f aca="false">AZ21+AZ53+AZ55</f>
        <v>0</v>
      </c>
      <c r="BA56" s="201" t="n">
        <f aca="false">BA21+BA53+BA55</f>
        <v>0</v>
      </c>
      <c r="BB56" s="201" t="n">
        <f aca="false">BB21+BB53+BB55</f>
        <v>0</v>
      </c>
      <c r="BC56" s="201" t="n">
        <f aca="false">BC21+BC53+BC55</f>
        <v>0</v>
      </c>
      <c r="BD56" s="201" t="n">
        <f aca="false">BD21+BD53+BD55</f>
        <v>0</v>
      </c>
      <c r="BE56" s="201" t="n">
        <f aca="false">BE21+BE53+BE55</f>
        <v>0</v>
      </c>
      <c r="BF56" s="201" t="n">
        <f aca="false">BF21+BF53+BF55</f>
        <v>0</v>
      </c>
      <c r="BG56" s="201" t="n">
        <f aca="false">BG21+BG53+BG55</f>
        <v>0</v>
      </c>
      <c r="BH56" s="201" t="n">
        <f aca="false">BH21+BH53+BH55</f>
        <v>0</v>
      </c>
      <c r="BI56" s="201" t="n">
        <f aca="false">BI21+BI53+BI55</f>
        <v>0</v>
      </c>
      <c r="BJ56" s="201" t="n">
        <f aca="false">BJ21+BJ53+BJ55</f>
        <v>0</v>
      </c>
      <c r="BK56" s="201" t="n">
        <f aca="false">BK21+BK53+BK55</f>
        <v>0</v>
      </c>
      <c r="BL56" s="201" t="n">
        <f aca="false">BL21+BL53+BL55</f>
        <v>0</v>
      </c>
      <c r="BM56" s="201" t="n">
        <f aca="false">BM21+BM53+BM55</f>
        <v>0</v>
      </c>
      <c r="BN56" s="201" t="n">
        <f aca="false">BN21+BN53+BN55</f>
        <v>0</v>
      </c>
      <c r="BO56" s="201" t="n">
        <f aca="false">BO21+BO53+BO55</f>
        <v>0</v>
      </c>
      <c r="BP56" s="201" t="n">
        <f aca="false">BP21+BP53+BP55</f>
        <v>0</v>
      </c>
      <c r="BQ56" s="201" t="n">
        <f aca="false">BQ21+BQ53+BQ55</f>
        <v>0</v>
      </c>
      <c r="BR56" s="201" t="n">
        <f aca="false">BR21+BR53+BR55</f>
        <v>0</v>
      </c>
      <c r="BS56" s="201" t="n">
        <f aca="false">BS21+BS53+BS55</f>
        <v>0</v>
      </c>
      <c r="BT56" s="201" t="n">
        <f aca="false">BT21+BT53+BT55</f>
        <v>0</v>
      </c>
      <c r="BU56" s="201" t="n">
        <f aca="false">BU21+BU53+BU55</f>
        <v>0</v>
      </c>
      <c r="BV56" s="201" t="n">
        <f aca="false">BV21+BV53+BV55</f>
        <v>0</v>
      </c>
      <c r="BW56" s="201" t="n">
        <f aca="false">BW21+BW53+BW55</f>
        <v>0</v>
      </c>
      <c r="BX56" s="201" t="n">
        <f aca="false">BX21+BX53+BX55</f>
        <v>0</v>
      </c>
      <c r="BY56" s="201" t="n">
        <f aca="false">BY21+BY53+BY55</f>
        <v>0</v>
      </c>
      <c r="BZ56" s="201" t="n">
        <f aca="false">BZ21+BZ53+BZ55</f>
        <v>0</v>
      </c>
      <c r="CA56" s="201" t="n">
        <f aca="false">CA21+CA53+CA55</f>
        <v>0</v>
      </c>
      <c r="CB56" s="201" t="n">
        <f aca="false">CB21+CB53+CB55</f>
        <v>0</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593</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10</v>
      </c>
      <c r="Q57" s="202" t="n">
        <f aca="false">Q22+Q54</f>
        <v>11</v>
      </c>
      <c r="R57" s="202" t="n">
        <f aca="false">R22+R54</f>
        <v>11</v>
      </c>
      <c r="S57" s="202" t="n">
        <f aca="false">S22+S54</f>
        <v>11</v>
      </c>
      <c r="T57" s="202" t="n">
        <f aca="false">T22+T54</f>
        <v>11</v>
      </c>
      <c r="U57" s="202" t="n">
        <f aca="false">U22+U54</f>
        <v>11</v>
      </c>
      <c r="V57" s="202" t="n">
        <f aca="false">V22+V54</f>
        <v>10</v>
      </c>
      <c r="W57" s="202" t="n">
        <f aca="false">W22+W54</f>
        <v>10</v>
      </c>
      <c r="X57" s="202" t="n">
        <f aca="false">X22+X54</f>
        <v>9</v>
      </c>
      <c r="Y57" s="202" t="n">
        <f aca="false">Y22+Y54</f>
        <v>8</v>
      </c>
      <c r="Z57" s="202" t="n">
        <f aca="false">Z22+Z54</f>
        <v>7</v>
      </c>
      <c r="AA57" s="202" t="n">
        <f aca="false">AA22+AA54</f>
        <v>7</v>
      </c>
      <c r="AB57" s="202" t="n">
        <f aca="false">AB22+AB54</f>
        <v>7</v>
      </c>
      <c r="AC57" s="202" t="n">
        <f aca="false">AC22+AC54</f>
        <v>7</v>
      </c>
      <c r="AD57" s="202" t="n">
        <f aca="false">AD22+AD54</f>
        <v>6</v>
      </c>
      <c r="AE57" s="202" t="n">
        <f aca="false">AE22+AE54</f>
        <v>5</v>
      </c>
      <c r="AF57" s="202" t="n">
        <f aca="false">AF22+AF54</f>
        <v>5</v>
      </c>
      <c r="AG57" s="202" t="n">
        <f aca="false">AG22+AG54</f>
        <v>5</v>
      </c>
      <c r="AH57" s="202" t="n">
        <f aca="false">AH22+AH54</f>
        <v>5</v>
      </c>
      <c r="AI57" s="202" t="n">
        <f aca="false">AI22+AI54</f>
        <v>3</v>
      </c>
      <c r="AJ57" s="202" t="n">
        <f aca="false">AJ22+AJ54</f>
        <v>2</v>
      </c>
      <c r="AK57" s="202" t="n">
        <f aca="false">AK22+AK54</f>
        <v>2</v>
      </c>
      <c r="AL57" s="202" t="n">
        <f aca="false">AL22+AL54</f>
        <v>2</v>
      </c>
      <c r="AM57" s="202" t="n">
        <f aca="false">AM22+AM54</f>
        <v>1</v>
      </c>
      <c r="AN57" s="202" t="n">
        <f aca="false">AN22+AN54</f>
        <v>1</v>
      </c>
      <c r="AO57" s="202" t="n">
        <f aca="false">AO22+AO54</f>
        <v>1</v>
      </c>
      <c r="AP57" s="202" t="n">
        <f aca="false">AP22+AP54</f>
        <v>1</v>
      </c>
      <c r="AQ57" s="202" t="n">
        <f aca="false">AQ22+AQ54</f>
        <v>0</v>
      </c>
      <c r="AR57" s="202" t="n">
        <f aca="false">AR22+AR54</f>
        <v>0</v>
      </c>
      <c r="AS57" s="202" t="n">
        <f aca="false">AS22+AS54</f>
        <v>0</v>
      </c>
      <c r="AT57" s="202" t="n">
        <f aca="false">AT22+AT54</f>
        <v>0</v>
      </c>
      <c r="AU57" s="202" t="n">
        <f aca="false">AU22+AU54</f>
        <v>0</v>
      </c>
      <c r="AV57" s="202" t="n">
        <f aca="false">AV22+AV54</f>
        <v>0</v>
      </c>
      <c r="AW57" s="202" t="n">
        <f aca="false">AW22+AW54</f>
        <v>0</v>
      </c>
      <c r="AX57" s="202" t="n">
        <f aca="false">AX22+AX54</f>
        <v>0</v>
      </c>
      <c r="AY57" s="202" t="n">
        <f aca="false">AY22+AY54</f>
        <v>0</v>
      </c>
      <c r="AZ57" s="202" t="n">
        <f aca="false">AZ22+AZ54</f>
        <v>0</v>
      </c>
      <c r="BA57" s="202" t="n">
        <f aca="false">BA22+BA54</f>
        <v>0</v>
      </c>
      <c r="BB57" s="202" t="n">
        <f aca="false">BB22+BB54</f>
        <v>0</v>
      </c>
      <c r="BC57" s="202" t="n">
        <f aca="false">BC22+BC54</f>
        <v>0</v>
      </c>
      <c r="BD57" s="202" t="n">
        <f aca="false">BD22+BD54</f>
        <v>0</v>
      </c>
      <c r="BE57" s="202" t="n">
        <f aca="false">BE22+BE54</f>
        <v>0</v>
      </c>
      <c r="BF57" s="202" t="n">
        <f aca="false">BF22+BF54</f>
        <v>0</v>
      </c>
      <c r="BG57" s="202" t="n">
        <f aca="false">BG22+BG54</f>
        <v>0</v>
      </c>
      <c r="BH57" s="202" t="n">
        <f aca="false">BH22+BH54</f>
        <v>0</v>
      </c>
      <c r="BI57" s="202" t="n">
        <f aca="false">BI22+BI54</f>
        <v>0</v>
      </c>
      <c r="BJ57" s="202" t="n">
        <f aca="false">BJ22+BJ54</f>
        <v>0</v>
      </c>
      <c r="BK57" s="202" t="n">
        <f aca="false">BK22+BK54</f>
        <v>0</v>
      </c>
      <c r="BL57" s="202" t="n">
        <f aca="false">BL22+BL54</f>
        <v>0</v>
      </c>
      <c r="BM57" s="202" t="n">
        <f aca="false">BM22+BM54</f>
        <v>0</v>
      </c>
      <c r="BN57" s="202" t="n">
        <f aca="false">BN22+BN54</f>
        <v>0</v>
      </c>
      <c r="BO57" s="202" t="n">
        <f aca="false">BO22+BO54</f>
        <v>0</v>
      </c>
      <c r="BP57" s="202" t="n">
        <f aca="false">BP22+BP54</f>
        <v>0</v>
      </c>
      <c r="BQ57" s="202" t="n">
        <f aca="false">BQ22+BQ54</f>
        <v>0</v>
      </c>
      <c r="BR57" s="202" t="n">
        <f aca="false">BR22+BR54</f>
        <v>0</v>
      </c>
      <c r="BS57" s="202" t="n">
        <f aca="false">BS22+BS54</f>
        <v>0</v>
      </c>
      <c r="BT57" s="202" t="n">
        <f aca="false">BT22+BT54</f>
        <v>0</v>
      </c>
      <c r="BU57" s="202" t="n">
        <f aca="false">BU22+BU54</f>
        <v>0</v>
      </c>
      <c r="BV57" s="202" t="n">
        <f aca="false">BV22+BV54</f>
        <v>0</v>
      </c>
      <c r="BW57" s="202" t="n">
        <f aca="false">BW22+BW54</f>
        <v>0</v>
      </c>
      <c r="BX57" s="202" t="n">
        <f aca="false">BX22+BX54</f>
        <v>0</v>
      </c>
      <c r="BY57" s="202" t="n">
        <f aca="false">BY22+BY54</f>
        <v>0</v>
      </c>
      <c r="BZ57" s="202" t="n">
        <f aca="false">BZ22+BZ54</f>
        <v>0</v>
      </c>
      <c r="CA57" s="202" t="n">
        <f aca="false">CA22+CA54</f>
        <v>0</v>
      </c>
      <c r="CB57" s="202" t="n">
        <f aca="false">CB22+CB54</f>
        <v>0</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594</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677090.401666667</v>
      </c>
      <c r="Q59" s="198" t="n">
        <f aca="false">-(Model!O236+Model!O292)</f>
        <v>791816.256875</v>
      </c>
      <c r="R59" s="198" t="n">
        <f aca="false">-(Model!P236+Model!P292)</f>
        <v>672092.485</v>
      </c>
      <c r="S59" s="198" t="n">
        <f aca="false">-(Model!Q236+Model!Q292)</f>
        <v>685434.3347</v>
      </c>
      <c r="T59" s="198" t="n">
        <f aca="false">-(Model!R236+Model!R292)</f>
        <v>685434.3347</v>
      </c>
      <c r="U59" s="198" t="n">
        <f aca="false">-(Model!S236+Model!S292)</f>
        <v>685434.3347</v>
      </c>
      <c r="V59" s="198" t="n">
        <f aca="false">-(Model!T236+Model!T292)</f>
        <v>685434.3347</v>
      </c>
      <c r="W59" s="198" t="n">
        <f aca="false">-(Model!U236+Model!U292)</f>
        <v>685434.3347</v>
      </c>
      <c r="X59" s="198" t="n">
        <f aca="false">-(Model!V236+Model!V292)</f>
        <v>681761.988546154</v>
      </c>
      <c r="Y59" s="198" t="n">
        <f aca="false">-(Model!W236+Model!W292)</f>
        <v>667915.8347</v>
      </c>
      <c r="Z59" s="198" t="n">
        <f aca="false">-(Model!X236+Model!X292)</f>
        <v>667915.8347</v>
      </c>
      <c r="AA59" s="198" t="n">
        <f aca="false">-(Model!Y236+Model!Y292)</f>
        <v>666283.680853846</v>
      </c>
      <c r="AB59" s="198" t="n">
        <f aca="false">-(Model!Z236+Model!Z292)</f>
        <v>651663.036623077</v>
      </c>
      <c r="AC59" s="198" t="n">
        <f aca="false">-(Model!AA236+Model!AA292)</f>
        <v>619739.9597</v>
      </c>
      <c r="AD59" s="198" t="n">
        <f aca="false">-(Model!AB236+Model!AB292)</f>
        <v>616475.652007692</v>
      </c>
      <c r="AE59" s="198" t="n">
        <f aca="false">-(Model!AC236+Model!AC292)</f>
        <v>609782.018317077</v>
      </c>
      <c r="AF59" s="198" t="n">
        <f aca="false">-(Model!AD236+Model!AD292)</f>
        <v>587858.941394</v>
      </c>
      <c r="AG59" s="198" t="n">
        <f aca="false">-(Model!AE236+Model!AE292)</f>
        <v>587858.941394</v>
      </c>
      <c r="AH59" s="198" t="n">
        <f aca="false">-(Model!AF236+Model!AF292)</f>
        <v>587858.941394</v>
      </c>
      <c r="AI59" s="198" t="n">
        <f aca="false">-(Model!AG236+Model!AG292)</f>
        <v>587858.941394</v>
      </c>
      <c r="AJ59" s="198" t="n">
        <f aca="false">-(Model!AH236+Model!AH292)</f>
        <v>587858.941394</v>
      </c>
      <c r="AK59" s="198" t="n">
        <f aca="false">-(Model!AI236+Model!AI292)</f>
        <v>587858.941394</v>
      </c>
      <c r="AL59" s="198" t="n">
        <f aca="false">-(Model!AJ236+Model!AJ292)</f>
        <v>587858.941394</v>
      </c>
      <c r="AM59" s="198" t="n">
        <f aca="false">-(Model!AK236+Model!AK292)</f>
        <v>587858.941394</v>
      </c>
      <c r="AN59" s="198" t="n">
        <f aca="false">-(Model!AL236+Model!AL292)</f>
        <v>587858.941394</v>
      </c>
      <c r="AO59" s="198" t="n">
        <f aca="false">-(Model!AM236+Model!AM292)</f>
        <v>587858.941394</v>
      </c>
      <c r="AP59" s="198" t="n">
        <f aca="false">-(Model!AN236+Model!AN292)</f>
        <v>587858.941394</v>
      </c>
      <c r="AQ59" s="198" t="n">
        <f aca="false">-(Model!AO236+Model!AO292)</f>
        <v>599516.12022188</v>
      </c>
      <c r="AR59" s="198" t="n">
        <f aca="false">-(Model!AP236+Model!AP292)</f>
        <v>599516.12022188</v>
      </c>
      <c r="AS59" s="198" t="n">
        <f aca="false">-(Model!AQ236+Model!AQ292)</f>
        <v>599516.12022188</v>
      </c>
      <c r="AT59" s="198" t="n">
        <f aca="false">-(Model!AR236+Model!AR292)</f>
        <v>599516.12022188</v>
      </c>
      <c r="AU59" s="198" t="n">
        <f aca="false">-(Model!AS236+Model!AS292)</f>
        <v>599516.12022188</v>
      </c>
      <c r="AV59" s="198" t="n">
        <f aca="false">-(Model!AT236+Model!AT292)</f>
        <v>681199.12022188</v>
      </c>
      <c r="AW59" s="198" t="n">
        <f aca="false">-(Model!AU236+Model!AU292)</f>
        <v>599516.12022188</v>
      </c>
      <c r="AX59" s="198" t="n">
        <f aca="false">-(Model!AV236+Model!AV292)</f>
        <v>599516.12022188</v>
      </c>
      <c r="AY59" s="198" t="n">
        <f aca="false">-(Model!AW236+Model!AW292)</f>
        <v>681198.12022188</v>
      </c>
      <c r="AZ59" s="198" t="n">
        <f aca="false">-(Model!AX236+Model!AX292)</f>
        <v>599516.12022188</v>
      </c>
      <c r="BA59" s="198" t="n">
        <f aca="false">-(Model!AY236+Model!AY292)</f>
        <v>599516.12022188</v>
      </c>
      <c r="BB59" s="198" t="n">
        <f aca="false">-(Model!AZ236+Model!AZ292)</f>
        <v>681198.12022188</v>
      </c>
      <c r="BC59" s="198" t="n">
        <f aca="false">-(Model!BA236+Model!BA292)</f>
        <v>611406.442626318</v>
      </c>
      <c r="BD59" s="198" t="n">
        <f aca="false">-(Model!BB236+Model!BB292)</f>
        <v>611406.442626318</v>
      </c>
      <c r="BE59" s="198" t="n">
        <f aca="false">-(Model!BC236+Model!BC292)</f>
        <v>693088.442626318</v>
      </c>
      <c r="BF59" s="198" t="n">
        <f aca="false">-(Model!BD236+Model!BD292)</f>
        <v>611406.442626318</v>
      </c>
      <c r="BG59" s="198" t="n">
        <f aca="false">-(Model!BE236+Model!BE292)</f>
        <v>611406.442626318</v>
      </c>
      <c r="BH59" s="198" t="n">
        <f aca="false">-(Model!BF236+Model!BF292)</f>
        <v>670584.442626318</v>
      </c>
      <c r="BI59" s="198" t="n">
        <f aca="false">-(Model!BG236+Model!BG292)</f>
        <v>611406.442626318</v>
      </c>
      <c r="BJ59" s="198" t="n">
        <f aca="false">-(Model!BH236+Model!BH292)</f>
        <v>611406.442626318</v>
      </c>
      <c r="BK59" s="198" t="n">
        <f aca="false">-(Model!BI236+Model!BI292)</f>
        <v>670582.442626318</v>
      </c>
      <c r="BL59" s="198" t="n">
        <f aca="false">-(Model!BJ236+Model!BJ292)</f>
        <v>611406.442626318</v>
      </c>
      <c r="BM59" s="198" t="n">
        <f aca="false">-(Model!BK236+Model!BK292)</f>
        <v>611406.442626318</v>
      </c>
      <c r="BN59" s="198" t="n">
        <f aca="false">-(Model!BL236+Model!BL292)</f>
        <v>670582.442626318</v>
      </c>
      <c r="BO59" s="198" t="n">
        <f aca="false">-(Model!BM236+Model!BM292)</f>
        <v>623534.571478844</v>
      </c>
      <c r="BP59" s="198" t="n">
        <f aca="false">-(Model!BN236+Model!BN292)</f>
        <v>623534.571478844</v>
      </c>
      <c r="BQ59" s="198" t="n">
        <f aca="false">-(Model!BO236+Model!BO292)</f>
        <v>682710.571478844</v>
      </c>
      <c r="BR59" s="198" t="n">
        <f aca="false">-(Model!BP236+Model!BP292)</f>
        <v>623534.571478844</v>
      </c>
      <c r="BS59" s="198" t="n">
        <f aca="false">-(Model!BQ236+Model!BQ292)</f>
        <v>623534.571478844</v>
      </c>
      <c r="BT59" s="198" t="n">
        <f aca="false">-(Model!BR236+Model!BR292)</f>
        <v>638047.221478844</v>
      </c>
      <c r="BU59" s="198" t="n">
        <f aca="false">-(Model!BS236+Model!BS292)</f>
        <v>623534.571478844</v>
      </c>
      <c r="BV59" s="198" t="n">
        <f aca="false">-(Model!BT236+Model!BT292)</f>
        <v>623534.571478844</v>
      </c>
      <c r="BW59" s="198" t="n">
        <f aca="false">-(Model!BU236+Model!BU292)</f>
        <v>623534.571478844</v>
      </c>
      <c r="BX59" s="198" t="n">
        <f aca="false">-(Model!BV236+Model!BV292)</f>
        <v>623534.571478844</v>
      </c>
      <c r="BY59" s="198" t="n">
        <f aca="false">-(Model!BW236+Model!BW292)</f>
        <v>623534.571478844</v>
      </c>
      <c r="BZ59" s="198" t="n">
        <f aca="false">-(Model!BX236+Model!BX292)</f>
        <v>623534.571478844</v>
      </c>
      <c r="CA59" s="198" t="n">
        <f aca="false">-(Model!BY236+Model!BY292)</f>
        <v>635905.262908421</v>
      </c>
      <c r="CB59" s="198" t="n">
        <f aca="false">-(Model!BZ236+Model!BZ292)</f>
        <v>635905.262908421</v>
      </c>
      <c r="CC59" s="198" t="n">
        <f aca="false">-(Model!CA236+Model!CA292)</f>
        <v>635905.262908421</v>
      </c>
      <c r="CD59" s="198" t="n">
        <f aca="false">-(Model!CB236+Model!CB292)</f>
        <v>635905.262908421</v>
      </c>
      <c r="CE59" s="198" t="n">
        <f aca="false">-(Model!CC236+Model!CC292)</f>
        <v>635905.262908421</v>
      </c>
      <c r="CF59" s="198" t="n">
        <f aca="false">-(Model!CD236+Model!CD292)</f>
        <v>635905.262908421</v>
      </c>
      <c r="CG59" s="198" t="n">
        <f aca="false">-(Model!CE236+Model!CE292)</f>
        <v>635905.262908421</v>
      </c>
      <c r="CH59" s="198" t="n">
        <f aca="false">-(Model!CF236+Model!CF292)</f>
        <v>635905.262908421</v>
      </c>
      <c r="CI59" s="198" t="n">
        <f aca="false">-(Model!CG236+Model!CG292)</f>
        <v>635905.262908421</v>
      </c>
      <c r="CJ59" s="198" t="n">
        <f aca="false">-(Model!CH236+Model!CH292)</f>
        <v>635905.262908421</v>
      </c>
      <c r="CK59" s="198" t="n">
        <f aca="false">-(Model!CI236+Model!CI292)</f>
        <v>635905.262908421</v>
      </c>
      <c r="CL59" s="198" t="n">
        <f aca="false">-(Model!CJ236+Model!CJ292)</f>
        <v>635905.262908421</v>
      </c>
      <c r="CM59" s="198" t="n">
        <f aca="false">-(Model!CK236+Model!CK292)</f>
        <v>648523.368166589</v>
      </c>
      <c r="CN59" s="198" t="n">
        <f aca="false">-(Model!CL236+Model!CL292)</f>
        <v>648523.368166589</v>
      </c>
      <c r="CO59" s="198" t="n">
        <f aca="false">-(Model!CM236+Model!CM292)</f>
        <v>648523.368166589</v>
      </c>
      <c r="CP59" s="198" t="n">
        <f aca="false">-(Model!CN236+Model!CN292)</f>
        <v>648523.368166589</v>
      </c>
      <c r="CQ59" s="198" t="n">
        <f aca="false">-(Model!CO236+Model!CO292)</f>
        <v>648523.368166589</v>
      </c>
      <c r="CR59" s="198" t="n">
        <f aca="false">-(Model!CP236+Model!CP292)</f>
        <v>648523.368166589</v>
      </c>
      <c r="CS59" s="198" t="n">
        <f aca="false">-(Model!CQ236+Model!CQ292)</f>
        <v>648523.368166589</v>
      </c>
      <c r="CT59" s="198" t="n">
        <f aca="false">-(Model!CR236+Model!CR292)</f>
        <v>648523.368166589</v>
      </c>
      <c r="CU59" s="198" t="n">
        <f aca="false">-(Model!CS236+Model!CS292)</f>
        <v>648523.368166589</v>
      </c>
      <c r="CV59" s="198" t="n">
        <f aca="false">-(Model!CT236+Model!CT292)</f>
        <v>587721.239873812</v>
      </c>
      <c r="CW59" s="198" t="n">
        <f aca="false">-(Model!CU236+Model!CU292)</f>
        <v>587721.239873812</v>
      </c>
      <c r="CX59" s="198" t="n">
        <f aca="false">-(Model!CV236+Model!CV292)</f>
        <v>587721.239873812</v>
      </c>
      <c r="CY59" s="198" t="n">
        <f aca="false">-(Model!CW236+Model!CW292)</f>
        <v>599375.664671288</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595</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921198.021338766</v>
      </c>
      <c r="Q60" s="198" t="n">
        <f aca="false">Model!O199</f>
        <v>831983.497819715</v>
      </c>
      <c r="R60" s="198" t="n">
        <f aca="false">Model!P199</f>
        <v>852806.987819716</v>
      </c>
      <c r="S60" s="198" t="n">
        <f aca="false">Model!Q199</f>
        <v>799056.457819715</v>
      </c>
      <c r="T60" s="198" t="n">
        <f aca="false">Model!R199</f>
        <v>743138.417819715</v>
      </c>
      <c r="U60" s="198" t="n">
        <f aca="false">Model!S199</f>
        <v>728919.357819716</v>
      </c>
      <c r="V60" s="198" t="n">
        <f aca="false">Model!T199</f>
        <v>805897.637819715</v>
      </c>
      <c r="W60" s="198" t="n">
        <f aca="false">Model!U199</f>
        <v>700168.347819716</v>
      </c>
      <c r="X60" s="198" t="n">
        <f aca="false">Model!V199</f>
        <v>778747.437819713</v>
      </c>
      <c r="Y60" s="198" t="n">
        <f aca="false">Model!W199</f>
        <v>667061.137819716</v>
      </c>
      <c r="Z60" s="198" t="n">
        <f aca="false">Model!X199</f>
        <v>841676.677819715</v>
      </c>
      <c r="AA60" s="198" t="n">
        <f aca="false">Model!Y199</f>
        <v>679915.857819716</v>
      </c>
      <c r="AB60" s="198" t="n">
        <f aca="false">Model!Z199</f>
        <v>806262.037819715</v>
      </c>
      <c r="AC60" s="198" t="n">
        <f aca="false">Model!AA199</f>
        <v>835500.691180855</v>
      </c>
      <c r="AD60" s="198" t="n">
        <f aca="false">Model!AB199</f>
        <v>649168.969080353</v>
      </c>
      <c r="AE60" s="198" t="n">
        <f aca="false">Model!AC199</f>
        <v>420443.499836798</v>
      </c>
      <c r="AF60" s="198" t="n">
        <f aca="false">Model!AD199</f>
        <v>443393.409836798</v>
      </c>
      <c r="AG60" s="198" t="n">
        <f aca="false">Model!AE199</f>
        <v>434325.419836798</v>
      </c>
      <c r="AH60" s="198" t="n">
        <f aca="false">Model!AF199</f>
        <v>603945.23395151</v>
      </c>
      <c r="AI60" s="198" t="n">
        <f aca="false">Model!AG199</f>
        <v>514042.322203035</v>
      </c>
      <c r="AJ60" s="198" t="n">
        <f aca="false">Model!AH199</f>
        <v>377348.999241136</v>
      </c>
      <c r="AK60" s="198" t="n">
        <f aca="false">Model!AI199</f>
        <v>371182.129241135</v>
      </c>
      <c r="AL60" s="198" t="n">
        <f aca="false">Model!AJ199</f>
        <v>376553.228808885</v>
      </c>
      <c r="AM60" s="198" t="n">
        <f aca="false">Model!AK199</f>
        <v>122218.81</v>
      </c>
      <c r="AN60" s="198" t="n">
        <f aca="false">Model!AL199</f>
        <v>136528.88</v>
      </c>
      <c r="AO60" s="198" t="n">
        <f aca="false">Model!AM199</f>
        <v>148410.66</v>
      </c>
      <c r="AP60" s="198" t="n">
        <f aca="false">Model!AN199</f>
        <v>39928.61</v>
      </c>
      <c r="AQ60" s="198" t="n">
        <f aca="false">Model!AO199</f>
        <v>0</v>
      </c>
      <c r="AR60" s="198" t="n">
        <f aca="false">Model!AP199</f>
        <v>0</v>
      </c>
      <c r="AS60" s="198" t="n">
        <f aca="false">Model!AQ199</f>
        <v>0</v>
      </c>
      <c r="AT60" s="198" t="n">
        <f aca="false">Model!AR199</f>
        <v>0</v>
      </c>
      <c r="AU60" s="198" t="n">
        <f aca="false">Model!AS199</f>
        <v>0</v>
      </c>
      <c r="AV60" s="198" t="n">
        <f aca="false">Model!AT199</f>
        <v>0</v>
      </c>
      <c r="AW60" s="198" t="n">
        <f aca="false">Model!AU199</f>
        <v>0</v>
      </c>
      <c r="AX60" s="198" t="n">
        <f aca="false">Model!AV199</f>
        <v>0</v>
      </c>
      <c r="AY60" s="198" t="n">
        <f aca="false">Model!AW199</f>
        <v>0</v>
      </c>
      <c r="AZ60" s="198" t="n">
        <f aca="false">Model!AX199</f>
        <v>0</v>
      </c>
      <c r="BA60" s="198" t="n">
        <f aca="false">Model!AY199</f>
        <v>0</v>
      </c>
      <c r="BB60" s="198" t="n">
        <f aca="false">Model!AZ199</f>
        <v>0</v>
      </c>
      <c r="BC60" s="198" t="n">
        <f aca="false">Model!BA199</f>
        <v>0</v>
      </c>
      <c r="BD60" s="198" t="n">
        <f aca="false">Model!BB199</f>
        <v>0</v>
      </c>
      <c r="BE60" s="198" t="n">
        <f aca="false">Model!BC199</f>
        <v>0</v>
      </c>
      <c r="BF60" s="198" t="n">
        <f aca="false">Model!BD199</f>
        <v>0</v>
      </c>
      <c r="BG60" s="198" t="n">
        <f aca="false">Model!BE199</f>
        <v>0</v>
      </c>
      <c r="BH60" s="198" t="n">
        <f aca="false">Model!BF199</f>
        <v>0</v>
      </c>
      <c r="BI60" s="198" t="n">
        <f aca="false">Model!BG199</f>
        <v>0</v>
      </c>
      <c r="BJ60" s="198" t="n">
        <f aca="false">Model!BH199</f>
        <v>0</v>
      </c>
      <c r="BK60" s="198" t="n">
        <f aca="false">Model!BI199</f>
        <v>0</v>
      </c>
      <c r="BL60" s="198" t="n">
        <f aca="false">Model!BJ199</f>
        <v>0</v>
      </c>
      <c r="BM60" s="198" t="n">
        <f aca="false">Model!BK199</f>
        <v>0</v>
      </c>
      <c r="BN60" s="198" t="n">
        <f aca="false">Model!BL199</f>
        <v>0</v>
      </c>
      <c r="BO60" s="198" t="n">
        <f aca="false">Model!BM199</f>
        <v>0</v>
      </c>
      <c r="BP60" s="198" t="n">
        <f aca="false">Model!BN199</f>
        <v>0</v>
      </c>
      <c r="BQ60" s="198" t="n">
        <f aca="false">Model!BO199</f>
        <v>0</v>
      </c>
      <c r="BR60" s="198" t="n">
        <f aca="false">Model!BP199</f>
        <v>0</v>
      </c>
      <c r="BS60" s="198" t="n">
        <f aca="false">Model!BQ199</f>
        <v>0</v>
      </c>
      <c r="BT60" s="198" t="n">
        <f aca="false">Model!BR199</f>
        <v>0</v>
      </c>
      <c r="BU60" s="198" t="n">
        <f aca="false">Model!BS199</f>
        <v>0</v>
      </c>
      <c r="BV60" s="198" t="n">
        <f aca="false">Model!BT199</f>
        <v>0</v>
      </c>
      <c r="BW60" s="198" t="n">
        <f aca="false">Model!BU199</f>
        <v>0</v>
      </c>
      <c r="BX60" s="198" t="n">
        <f aca="false">Model!BV199</f>
        <v>0</v>
      </c>
      <c r="BY60" s="198" t="n">
        <f aca="false">Model!BW199</f>
        <v>0</v>
      </c>
      <c r="BZ60" s="198" t="n">
        <f aca="false">Model!BX199</f>
        <v>0</v>
      </c>
      <c r="CA60" s="198" t="n">
        <f aca="false">Model!BY199</f>
        <v>0</v>
      </c>
      <c r="CB60" s="198" t="n">
        <f aca="false">Model!BZ199</f>
        <v>0</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596</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0.141753424702375</v>
      </c>
      <c r="Q61" s="203" t="n">
        <f aca="false">IFERROR(Q60/Q56,0)</f>
        <v>0.127602452213543</v>
      </c>
      <c r="R61" s="203" t="n">
        <f aca="false">IFERROR(R60/R56,0)</f>
        <v>0.117826686268274</v>
      </c>
      <c r="S61" s="203" t="n">
        <f aca="false">IFERROR(S60/S56,0)</f>
        <v>0.111172870860003</v>
      </c>
      <c r="T61" s="203" t="n">
        <f aca="false">IFERROR(T60/T56,0)</f>
        <v>0.104331513802546</v>
      </c>
      <c r="U61" s="203" t="n">
        <f aca="false">IFERROR(U60/U56,0)</f>
        <v>0.0978498251585811</v>
      </c>
      <c r="V61" s="203" t="n">
        <f aca="false">IFERROR(V60/V56,0)</f>
        <v>0.0949667128001542</v>
      </c>
      <c r="W61" s="203" t="n">
        <f aca="false">IFERROR(W60/W56,0)</f>
        <v>0.0904423476427712</v>
      </c>
      <c r="X61" s="203" t="n">
        <f aca="false">IFERROR(X60/X56,0)</f>
        <v>0.0941740165963628</v>
      </c>
      <c r="Y61" s="203" t="n">
        <f aca="false">IFERROR(Y60/Y56,0)</f>
        <v>0.0986981985141507</v>
      </c>
      <c r="Z61" s="203" t="n">
        <f aca="false">IFERROR(Z60/Z56,0)</f>
        <v>0.105338892871223</v>
      </c>
      <c r="AA61" s="203" t="n">
        <f aca="false">IFERROR(AA60/AA56,0)</f>
        <v>0.105825668214639</v>
      </c>
      <c r="AB61" s="203" t="n">
        <f aca="false">IFERROR(AB60/AB56,0)</f>
        <v>0.113203946146399</v>
      </c>
      <c r="AC61" s="203" t="n">
        <f aca="false">IFERROR(AC60/AC56,0)</f>
        <v>0.132965849138204</v>
      </c>
      <c r="AD61" s="203" t="n">
        <f aca="false">IFERROR(AD60/AD56,0)</f>
        <v>0.13441197237423</v>
      </c>
      <c r="AE61" s="203" t="n">
        <f aca="false">IFERROR(AE60/AE56,0)</f>
        <v>0.116219210804976</v>
      </c>
      <c r="AF61" s="203" t="n">
        <f aca="false">IFERROR(AF60/AF56,0)</f>
        <v>0.126600417095845</v>
      </c>
      <c r="AG61" s="203" t="n">
        <f aca="false">IFERROR(AG60/AG56,0)</f>
        <v>0.139054547689668</v>
      </c>
      <c r="AH61" s="203" t="n">
        <f aca="false">IFERROR(AH60/AH56,0)</f>
        <v>0.195371957425822</v>
      </c>
      <c r="AI61" s="203" t="n">
        <f aca="false">IFERROR(AI60/AI56,0)</f>
        <v>0.1531231217391</v>
      </c>
      <c r="AJ61" s="203" t="n">
        <f aca="false">IFERROR(AJ60/AJ56,0)</f>
        <v>0.13292870571493</v>
      </c>
      <c r="AK61" s="203" t="n">
        <f aca="false">IFERROR(AK60/AK56,0)</f>
        <v>0.137401035371291</v>
      </c>
      <c r="AL61" s="203" t="n">
        <f aca="false">IFERROR(AL60/AL56,0)</f>
        <v>0.231385779384912</v>
      </c>
      <c r="AM61" s="203" t="n">
        <f aca="false">IFERROR(AM60/AM56,0)</f>
        <v>0.123559416072855</v>
      </c>
      <c r="AN61" s="203" t="n">
        <f aca="false">IFERROR(AN60/AN56,0)</f>
        <v>0.123559417548816</v>
      </c>
      <c r="AO61" s="203" t="n">
        <f aca="false">IFERROR(AO60/AO56,0)</f>
        <v>0.123559416504427</v>
      </c>
      <c r="AP61" s="203" t="n">
        <f aca="false">IFERROR(AP60/AP56,0)</f>
        <v>0.123559428862631</v>
      </c>
      <c r="AQ61" s="203" t="n">
        <f aca="false">IFERROR(AQ60/AQ56,0)</f>
        <v>0</v>
      </c>
      <c r="AR61" s="203" t="n">
        <f aca="false">IFERROR(AR60/AR56,0)</f>
        <v>0</v>
      </c>
      <c r="AS61" s="203" t="n">
        <f aca="false">IFERROR(AS60/AS56,0)</f>
        <v>0</v>
      </c>
      <c r="AT61" s="203" t="n">
        <f aca="false">IFERROR(AT60/AT56,0)</f>
        <v>0</v>
      </c>
      <c r="AU61" s="203" t="n">
        <f aca="false">IFERROR(AU60/AU56,0)</f>
        <v>0</v>
      </c>
      <c r="AV61" s="203" t="n">
        <f aca="false">IFERROR(AV60/AV56,0)</f>
        <v>0</v>
      </c>
      <c r="AW61" s="203" t="n">
        <f aca="false">IFERROR(AW60/AW56,0)</f>
        <v>0</v>
      </c>
      <c r="AX61" s="203" t="n">
        <f aca="false">IFERROR(AX60/AX56,0)</f>
        <v>0</v>
      </c>
      <c r="AY61" s="203" t="n">
        <f aca="false">IFERROR(AY60/AY56,0)</f>
        <v>0</v>
      </c>
      <c r="AZ61" s="203" t="n">
        <f aca="false">IFERROR(AZ60/AZ56,0)</f>
        <v>0</v>
      </c>
      <c r="BA61" s="203" t="n">
        <f aca="false">IFERROR(BA60/BA56,0)</f>
        <v>0</v>
      </c>
      <c r="BB61" s="203" t="n">
        <f aca="false">IFERROR(BB60/BB56,0)</f>
        <v>0</v>
      </c>
      <c r="BC61" s="203" t="n">
        <f aca="false">IFERROR(BC60/BC56,0)</f>
        <v>0</v>
      </c>
      <c r="BD61" s="203" t="n">
        <f aca="false">IFERROR(BD60/BD56,0)</f>
        <v>0</v>
      </c>
      <c r="BE61" s="203" t="n">
        <f aca="false">IFERROR(BE60/BE56,0)</f>
        <v>0</v>
      </c>
      <c r="BF61" s="203" t="n">
        <f aca="false">IFERROR(BF60/BF56,0)</f>
        <v>0</v>
      </c>
      <c r="BG61" s="203" t="n">
        <f aca="false">IFERROR(BG60/BG56,0)</f>
        <v>0</v>
      </c>
      <c r="BH61" s="203" t="n">
        <f aca="false">IFERROR(BH60/BH56,0)</f>
        <v>0</v>
      </c>
      <c r="BI61" s="203" t="n">
        <f aca="false">IFERROR(BI60/BI56,0)</f>
        <v>0</v>
      </c>
      <c r="BJ61" s="203" t="n">
        <f aca="false">IFERROR(BJ60/BJ56,0)</f>
        <v>0</v>
      </c>
      <c r="BK61" s="203" t="n">
        <f aca="false">IFERROR(BK60/BK56,0)</f>
        <v>0</v>
      </c>
      <c r="BL61" s="203" t="n">
        <f aca="false">IFERROR(BL60/BL56,0)</f>
        <v>0</v>
      </c>
      <c r="BM61" s="203" t="n">
        <f aca="false">IFERROR(BM60/BM56,0)</f>
        <v>0</v>
      </c>
      <c r="BN61" s="203" t="n">
        <f aca="false">IFERROR(BN60/BN56,0)</f>
        <v>0</v>
      </c>
      <c r="BO61" s="203" t="n">
        <f aca="false">IFERROR(BO60/BO56,0)</f>
        <v>0</v>
      </c>
      <c r="BP61" s="203" t="n">
        <f aca="false">IFERROR(BP60/BP56,0)</f>
        <v>0</v>
      </c>
      <c r="BQ61" s="203" t="n">
        <f aca="false">IFERROR(BQ60/BQ56,0)</f>
        <v>0</v>
      </c>
      <c r="BR61" s="203" t="n">
        <f aca="false">IFERROR(BR60/BR56,0)</f>
        <v>0</v>
      </c>
      <c r="BS61" s="203" t="n">
        <f aca="false">IFERROR(BS60/BS56,0)</f>
        <v>0</v>
      </c>
      <c r="BT61" s="203" t="n">
        <f aca="false">IFERROR(BT60/BT56,0)</f>
        <v>0</v>
      </c>
      <c r="BU61" s="203" t="n">
        <f aca="false">IFERROR(BU60/BU56,0)</f>
        <v>0</v>
      </c>
      <c r="BV61" s="203" t="n">
        <f aca="false">IFERROR(BV60/BV56,0)</f>
        <v>0</v>
      </c>
      <c r="BW61" s="203" t="n">
        <f aca="false">IFERROR(BW60/BW56,0)</f>
        <v>0</v>
      </c>
      <c r="BX61" s="203" t="n">
        <f aca="false">IFERROR(BX60/BX56,0)</f>
        <v>0</v>
      </c>
      <c r="BY61" s="203" t="n">
        <f aca="false">IFERROR(BY60/BY56,0)</f>
        <v>0</v>
      </c>
      <c r="BZ61" s="203" t="n">
        <f aca="false">IFERROR(BZ60/BZ56,0)</f>
        <v>0</v>
      </c>
      <c r="CA61" s="203" t="n">
        <f aca="false">IFERROR(CA60/CA56,0)</f>
        <v>0</v>
      </c>
      <c r="CB61" s="203" t="n">
        <f aca="false">IFERROR(CB60/CB56,0)</f>
        <v>0</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597</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4776536.46173475</v>
      </c>
      <c r="Q62" s="198" t="n">
        <f aca="false">IF(Q61&gt;0,Q59/Q61,"n/m")</f>
        <v>6205337.30456756</v>
      </c>
      <c r="R62" s="198" t="n">
        <f aca="false">IF(R61&gt;0,R59/R61,"n/m")</f>
        <v>5704076.94798228</v>
      </c>
      <c r="S62" s="198" t="n">
        <f aca="false">IF(S61&gt;0,S59/S61,"n/m")</f>
        <v>6165482.00471635</v>
      </c>
      <c r="T62" s="198" t="n">
        <f aca="false">IF(T61&gt;0,T59/T61,"n/m")</f>
        <v>6569772.73422129</v>
      </c>
      <c r="U62" s="198" t="n">
        <f aca="false">IF(U61&gt;0,U59/U61,"n/m")</f>
        <v>7004962.28367445</v>
      </c>
      <c r="V62" s="198" t="n">
        <f aca="false">IF(V61&gt;0,V59/V61,"n/m")</f>
        <v>7217627.2557987</v>
      </c>
      <c r="W62" s="198" t="n">
        <f aca="false">IF(W61&gt;0,W59/W61,"n/m")</f>
        <v>7578687.99920282</v>
      </c>
      <c r="X62" s="198" t="n">
        <f aca="false">IF(X61&gt;0,X59/X61,"n/m")</f>
        <v>7239385.26980578</v>
      </c>
      <c r="Y62" s="198" t="n">
        <f aca="false">IF(Y61&gt;0,Y59/Y61,"n/m")</f>
        <v>6767254.56751106</v>
      </c>
      <c r="Z62" s="198" t="n">
        <f aca="false">IF(Z61&gt;0,Z59/Z61,"n/m")</f>
        <v>6340638.45266084</v>
      </c>
      <c r="AA62" s="198" t="n">
        <f aca="false">IF(AA61&gt;0,AA59/AA61,"n/m")</f>
        <v>6296049.83454929</v>
      </c>
      <c r="AB62" s="198" t="n">
        <f aca="false">IF(AB61&gt;0,AB59/AB61,"n/m")</f>
        <v>5756539.93351367</v>
      </c>
      <c r="AC62" s="198" t="n">
        <f aca="false">IF(AC61&gt;0,AC59/AC61,"n/m")</f>
        <v>4660895.73914461</v>
      </c>
      <c r="AD62" s="198" t="n">
        <f aca="false">IF(AD61&gt;0,AD59/AD61,"n/m")</f>
        <v>4586463.84781336</v>
      </c>
      <c r="AE62" s="198" t="n">
        <f aca="false">IF(AE61&gt;0,AE59/AE61,"n/m")</f>
        <v>5246826.35593124</v>
      </c>
      <c r="AF62" s="198" t="n">
        <f aca="false">IF(AF61&gt;0,AF59/AF61,"n/m")</f>
        <v>4643420.25784126</v>
      </c>
      <c r="AG62" s="198" t="n">
        <f aca="false">IF(AG61&gt;0,AG59/AG61,"n/m")</f>
        <v>4227542.00535706</v>
      </c>
      <c r="AH62" s="198" t="n">
        <f aca="false">IF(AH61&gt;0,AH59/AH61,"n/m")</f>
        <v>3008921.79788491</v>
      </c>
      <c r="AI62" s="198" t="n">
        <f aca="false">IF(AI61&gt;0,AI59/AI61,"n/m")</f>
        <v>3839125.89240198</v>
      </c>
      <c r="AJ62" s="198" t="n">
        <f aca="false">IF(AJ61&gt;0,AJ59/AJ61,"n/m")</f>
        <v>4422362.63591314</v>
      </c>
      <c r="AK62" s="198" t="n">
        <f aca="false">IF(AK61&gt;0,AK59/AK61,"n/m")</f>
        <v>4278417.11531113</v>
      </c>
      <c r="AL62" s="198" t="n">
        <f aca="false">IF(AL61&gt;0,AL59/AL61,"n/m")</f>
        <v>2540600.99525863</v>
      </c>
      <c r="AM62" s="198" t="n">
        <f aca="false">IF(AM61&gt;0,AM59/AM61,"n/m")</f>
        <v>4757702.48903879</v>
      </c>
      <c r="AN62" s="198" t="n">
        <f aca="false">IF(AN61&gt;0,AN59/AN61,"n/m")</f>
        <v>4757702.43220634</v>
      </c>
      <c r="AO62" s="198" t="n">
        <f aca="false">IF(AO61&gt;0,AO59/AO61,"n/m")</f>
        <v>4757702.47242092</v>
      </c>
      <c r="AP62" s="198" t="n">
        <f aca="false">IF(AP61&gt;0,AP59/AP61,"n/m")</f>
        <v>4757701.99656363</v>
      </c>
      <c r="AQ62" s="198" t="str">
        <f aca="false">IF(AQ61&gt;0,AQ59/AQ61,"n/m")</f>
        <v>n/m</v>
      </c>
      <c r="AR62" s="198" t="str">
        <f aca="false">IF(AR61&gt;0,AR59/AR61,"n/m")</f>
        <v>n/m</v>
      </c>
      <c r="AS62" s="198" t="str">
        <f aca="false">IF(AS61&gt;0,AS59/AS61,"n/m")</f>
        <v>n/m</v>
      </c>
      <c r="AT62" s="198" t="str">
        <f aca="false">IF(AT61&gt;0,AT59/AT61,"n/m")</f>
        <v>n/m</v>
      </c>
      <c r="AU62" s="198" t="str">
        <f aca="false">IF(AU61&gt;0,AU59/AU61,"n/m")</f>
        <v>n/m</v>
      </c>
      <c r="AV62" s="198" t="str">
        <f aca="false">IF(AV61&gt;0,AV59/AV61,"n/m")</f>
        <v>n/m</v>
      </c>
      <c r="AW62" s="198" t="str">
        <f aca="false">IF(AW61&gt;0,AW59/AW61,"n/m")</f>
        <v>n/m</v>
      </c>
      <c r="AX62" s="198" t="str">
        <f aca="false">IF(AX61&gt;0,AX59/AX61,"n/m")</f>
        <v>n/m</v>
      </c>
      <c r="AY62" s="198" t="str">
        <f aca="false">IF(AY61&gt;0,AY59/AY61,"n/m")</f>
        <v>n/m</v>
      </c>
      <c r="AZ62" s="198" t="str">
        <f aca="false">IF(AZ61&gt;0,AZ59/AZ61,"n/m")</f>
        <v>n/m</v>
      </c>
      <c r="BA62" s="198" t="str">
        <f aca="false">IF(BA61&gt;0,BA59/BA61,"n/m")</f>
        <v>n/m</v>
      </c>
      <c r="BB62" s="198" t="str">
        <f aca="false">IF(BB61&gt;0,BB59/BB61,"n/m")</f>
        <v>n/m</v>
      </c>
      <c r="BC62" s="198" t="str">
        <f aca="false">IF(BC61&gt;0,BC59/BC61,"n/m")</f>
        <v>n/m</v>
      </c>
      <c r="BD62" s="198" t="str">
        <f aca="false">IF(BD61&gt;0,BD59/BD61,"n/m")</f>
        <v>n/m</v>
      </c>
      <c r="BE62" s="198" t="str">
        <f aca="false">IF(BE61&gt;0,BE59/BE61,"n/m")</f>
        <v>n/m</v>
      </c>
      <c r="BF62" s="198" t="str">
        <f aca="false">IF(BF61&gt;0,BF59/BF61,"n/m")</f>
        <v>n/m</v>
      </c>
      <c r="BG62" s="198" t="str">
        <f aca="false">IF(BG61&gt;0,BG59/BG61,"n/m")</f>
        <v>n/m</v>
      </c>
      <c r="BH62" s="198" t="str">
        <f aca="false">IF(BH61&gt;0,BH59/BH61,"n/m")</f>
        <v>n/m</v>
      </c>
      <c r="BI62" s="198" t="str">
        <f aca="false">IF(BI61&gt;0,BI59/BI61,"n/m")</f>
        <v>n/m</v>
      </c>
      <c r="BJ62" s="198" t="str">
        <f aca="false">IF(BJ61&gt;0,BJ59/BJ61,"n/m")</f>
        <v>n/m</v>
      </c>
      <c r="BK62" s="198" t="str">
        <f aca="false">IF(BK61&gt;0,BK59/BK61,"n/m")</f>
        <v>n/m</v>
      </c>
      <c r="BL62" s="198" t="str">
        <f aca="false">IF(BL61&gt;0,BL59/BL61,"n/m")</f>
        <v>n/m</v>
      </c>
      <c r="BM62" s="198" t="str">
        <f aca="false">IF(BM61&gt;0,BM59/BM61,"n/m")</f>
        <v>n/m</v>
      </c>
      <c r="BN62" s="198" t="str">
        <f aca="false">IF(BN61&gt;0,BN59/BN61,"n/m")</f>
        <v>n/m</v>
      </c>
      <c r="BO62" s="198" t="str">
        <f aca="false">IF(BO61&gt;0,BO59/BO61,"n/m")</f>
        <v>n/m</v>
      </c>
      <c r="BP62" s="198" t="str">
        <f aca="false">IF(BP61&gt;0,BP59/BP61,"n/m")</f>
        <v>n/m</v>
      </c>
      <c r="BQ62" s="198" t="str">
        <f aca="false">IF(BQ61&gt;0,BQ59/BQ61,"n/m")</f>
        <v>n/m</v>
      </c>
      <c r="BR62" s="198" t="str">
        <f aca="false">IF(BR61&gt;0,BR59/BR61,"n/m")</f>
        <v>n/m</v>
      </c>
      <c r="BS62" s="198" t="str">
        <f aca="false">IF(BS61&gt;0,BS59/BS61,"n/m")</f>
        <v>n/m</v>
      </c>
      <c r="BT62" s="198" t="str">
        <f aca="false">IF(BT61&gt;0,BT59/BT61,"n/m")</f>
        <v>n/m</v>
      </c>
      <c r="BU62" s="198" t="str">
        <f aca="false">IF(BU61&gt;0,BU59/BU61,"n/m")</f>
        <v>n/m</v>
      </c>
      <c r="BV62" s="198" t="str">
        <f aca="false">IF(BV61&gt;0,BV59/BV61,"n/m")</f>
        <v>n/m</v>
      </c>
      <c r="BW62" s="198" t="str">
        <f aca="false">IF(BW61&gt;0,BW59/BW61,"n/m")</f>
        <v>n/m</v>
      </c>
      <c r="BX62" s="198" t="str">
        <f aca="false">IF(BX61&gt;0,BX59/BX61,"n/m")</f>
        <v>n/m</v>
      </c>
      <c r="BY62" s="198" t="str">
        <f aca="false">IF(BY61&gt;0,BY59/BY61,"n/m")</f>
        <v>n/m</v>
      </c>
      <c r="BZ62" s="198" t="str">
        <f aca="false">IF(BZ61&gt;0,BZ59/BZ61,"n/m")</f>
        <v>n/m</v>
      </c>
      <c r="CA62" s="198" t="str">
        <f aca="false">IF(CA61&gt;0,CA59/CA61,"n/m")</f>
        <v>n/m</v>
      </c>
      <c r="CB62" s="198" t="str">
        <f aca="false">IF(CB61&gt;0,CB59/CB61,"n/m")</f>
        <v>n/m</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598</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1722058.0044865</v>
      </c>
      <c r="Q63" s="203" t="n">
        <f aca="false">IF(ISNUMBER(Q62),Q56-Q62,Q60-Q59)</f>
        <v>314784.240019894</v>
      </c>
      <c r="R63" s="203" t="n">
        <f aca="false">IF(ISNUMBER(R62),R56-R62,R60-R59)</f>
        <v>1533731.52163727</v>
      </c>
      <c r="S63" s="203" t="n">
        <f aca="false">IF(ISNUMBER(S62),S56-S62,S60-S59)</f>
        <v>1022031.02466245</v>
      </c>
      <c r="T63" s="203" t="n">
        <f aca="false">IF(ISNUMBER(T62),T56-T62,T60-T59)</f>
        <v>553083.924660805</v>
      </c>
      <c r="U63" s="203" t="n">
        <f aca="false">IF(ISNUMBER(U62),U56-U62,U60-U59)</f>
        <v>444405.731428146</v>
      </c>
      <c r="V63" s="203" t="n">
        <f aca="false">IF(ISNUMBER(V62),V56-V62,V60-V59)</f>
        <v>1268479.23412085</v>
      </c>
      <c r="W63" s="203" t="n">
        <f aca="false">IF(ISNUMBER(W62),W56-W62,W60-W59)</f>
        <v>162910.555770976</v>
      </c>
      <c r="X63" s="203" t="n">
        <f aca="false">IF(ISNUMBER(X62),X56-X62,X60-X59)</f>
        <v>1029853.59209267</v>
      </c>
      <c r="Y63" s="203" t="n">
        <f aca="false">IF(ISNUMBER(Y62),Y56-Y62,Y60-Y59)</f>
        <v>-8659.70091806352</v>
      </c>
      <c r="Z63" s="203" t="n">
        <f aca="false">IF(ISNUMBER(Z62),Z56-Z62,Z60-Z59)</f>
        <v>1649541.19398366</v>
      </c>
      <c r="AA63" s="203" t="n">
        <f aca="false">IF(ISNUMBER(AA62),AA56-AA62,AA60-AA59)</f>
        <v>128817.30109391</v>
      </c>
      <c r="AB63" s="203" t="n">
        <f aca="false">IF(ISNUMBER(AB62),AB56-AB62,AB60-AB59)</f>
        <v>1365667.95115698</v>
      </c>
      <c r="AC63" s="203" t="n">
        <f aca="false">IF(ISNUMBER(AC62),AC56-AC62,AC60-AC59)</f>
        <v>1622677.79944454</v>
      </c>
      <c r="AD63" s="203" t="n">
        <f aca="false">IF(ISNUMBER(AD62),AD56-AD62,AD60-AD59)</f>
        <v>243232.180103986</v>
      </c>
      <c r="AE63" s="203" t="n">
        <f aca="false">IF(ISNUMBER(AE62),AE56-AE62,AE60-AE59)</f>
        <v>-1629149.92425824</v>
      </c>
      <c r="AF63" s="203" t="n">
        <f aca="false">IF(ISNUMBER(AF62),AF56-AF62,AF60-AF59)</f>
        <v>-1141114.18327976</v>
      </c>
      <c r="AG63" s="203" t="n">
        <f aca="false">IF(ISNUMBER(AG62),AG56-AG62,AG60-AG59)</f>
        <v>-1104124.41813731</v>
      </c>
      <c r="AH63" s="203" t="n">
        <f aca="false">IF(ISNUMBER(AH62),AH56-AH62,AH60-AH59)</f>
        <v>82336.7527738358</v>
      </c>
      <c r="AI63" s="203" t="n">
        <f aca="false">IF(ISNUMBER(AI62),AI56-AI62,AI60-AI59)</f>
        <v>-482073.630373978</v>
      </c>
      <c r="AJ63" s="203" t="n">
        <f aca="false">IF(ISNUMBER(AJ62),AJ56-AJ62,AJ60-AJ59)</f>
        <v>-1583630.42068814</v>
      </c>
      <c r="AK63" s="203" t="n">
        <f aca="false">IF(ISNUMBER(AK62),AK56-AK62,AK60-AK59)</f>
        <v>-1576966.37123113</v>
      </c>
      <c r="AL63" s="203" t="n">
        <f aca="false">IF(ISNUMBER(AL62),AL56-AL62,AL60-AL59)</f>
        <v>-913218.232973627</v>
      </c>
      <c r="AM63" s="203" t="n">
        <f aca="false">IF(ISNUMBER(AM62),AM56-AM62,AM60-AM59)</f>
        <v>-3768552.37903879</v>
      </c>
      <c r="AN63" s="203" t="n">
        <f aca="false">IF(ISNUMBER(AN62),AN56-AN62,AN60-AN59)</f>
        <v>-3652737.04220634</v>
      </c>
      <c r="AO63" s="203" t="n">
        <f aca="false">IF(ISNUMBER(AO62),AO56-AO62,AO60-AO59)</f>
        <v>-3556574.59242092</v>
      </c>
      <c r="AP63" s="203" t="n">
        <f aca="false">IF(ISNUMBER(AP62),AP56-AP62,AP60-AP59)</f>
        <v>-4434548.91656363</v>
      </c>
      <c r="AQ63" s="203" t="n">
        <f aca="false">IF(ISNUMBER(AQ62),AQ56-AQ62,AQ60-AQ59)</f>
        <v>-599516.12022188</v>
      </c>
      <c r="AR63" s="203" t="n">
        <f aca="false">IF(ISNUMBER(AR62),AR56-AR62,AR60-AR59)</f>
        <v>-599516.12022188</v>
      </c>
      <c r="AS63" s="203" t="n">
        <f aca="false">IF(ISNUMBER(AS62),AS56-AS62,AS60-AS59)</f>
        <v>-599516.12022188</v>
      </c>
      <c r="AT63" s="203" t="n">
        <f aca="false">IF(ISNUMBER(AT62),AT56-AT62,AT60-AT59)</f>
        <v>-599516.12022188</v>
      </c>
      <c r="AU63" s="203" t="n">
        <f aca="false">IF(ISNUMBER(AU62),AU56-AU62,AU60-AU59)</f>
        <v>-599516.12022188</v>
      </c>
      <c r="AV63" s="203" t="n">
        <f aca="false">IF(ISNUMBER(AV62),AV56-AV62,AV60-AV59)</f>
        <v>-681199.12022188</v>
      </c>
      <c r="AW63" s="203" t="n">
        <f aca="false">IF(ISNUMBER(AW62),AW56-AW62,AW60-AW59)</f>
        <v>-599516.12022188</v>
      </c>
      <c r="AX63" s="203" t="n">
        <f aca="false">IF(ISNUMBER(AX62),AX56-AX62,AX60-AX59)</f>
        <v>-599516.12022188</v>
      </c>
      <c r="AY63" s="203" t="n">
        <f aca="false">IF(ISNUMBER(AY62),AY56-AY62,AY60-AY59)</f>
        <v>-681198.12022188</v>
      </c>
      <c r="AZ63" s="203" t="n">
        <f aca="false">IF(ISNUMBER(AZ62),AZ56-AZ62,AZ60-AZ59)</f>
        <v>-599516.12022188</v>
      </c>
      <c r="BA63" s="203" t="n">
        <f aca="false">IF(ISNUMBER(BA62),BA56-BA62,BA60-BA59)</f>
        <v>-599516.12022188</v>
      </c>
      <c r="BB63" s="203" t="n">
        <f aca="false">IF(ISNUMBER(BB62),BB56-BB62,BB60-BB59)</f>
        <v>-681198.12022188</v>
      </c>
      <c r="BC63" s="203" t="n">
        <f aca="false">IF(ISNUMBER(BC62),BC56-BC62,BC60-BC59)</f>
        <v>-611406.442626318</v>
      </c>
      <c r="BD63" s="203" t="n">
        <f aca="false">IF(ISNUMBER(BD62),BD56-BD62,BD60-BD59)</f>
        <v>-611406.442626318</v>
      </c>
      <c r="BE63" s="203" t="n">
        <f aca="false">IF(ISNUMBER(BE62),BE56-BE62,BE60-BE59)</f>
        <v>-693088.442626318</v>
      </c>
      <c r="BF63" s="203" t="n">
        <f aca="false">IF(ISNUMBER(BF62),BF56-BF62,BF60-BF59)</f>
        <v>-611406.442626318</v>
      </c>
      <c r="BG63" s="203" t="n">
        <f aca="false">IF(ISNUMBER(BG62),BG56-BG62,BG60-BG59)</f>
        <v>-611406.442626318</v>
      </c>
      <c r="BH63" s="203" t="n">
        <f aca="false">IF(ISNUMBER(BH62),BH56-BH62,BH60-BH59)</f>
        <v>-670584.442626318</v>
      </c>
      <c r="BI63" s="203" t="n">
        <f aca="false">IF(ISNUMBER(BI62),BI56-BI62,BI60-BI59)</f>
        <v>-611406.442626318</v>
      </c>
      <c r="BJ63" s="203" t="n">
        <f aca="false">IF(ISNUMBER(BJ62),BJ56-BJ62,BJ60-BJ59)</f>
        <v>-611406.442626318</v>
      </c>
      <c r="BK63" s="203" t="n">
        <f aca="false">IF(ISNUMBER(BK62),BK56-BK62,BK60-BK59)</f>
        <v>-670582.442626318</v>
      </c>
      <c r="BL63" s="203" t="n">
        <f aca="false">IF(ISNUMBER(BL62),BL56-BL62,BL60-BL59)</f>
        <v>-611406.442626318</v>
      </c>
      <c r="BM63" s="203" t="n">
        <f aca="false">IF(ISNUMBER(BM62),BM56-BM62,BM60-BM59)</f>
        <v>-611406.442626318</v>
      </c>
      <c r="BN63" s="203" t="n">
        <f aca="false">IF(ISNUMBER(BN62),BN56-BN62,BN60-BN59)</f>
        <v>-670582.442626318</v>
      </c>
      <c r="BO63" s="203" t="n">
        <f aca="false">IF(ISNUMBER(BO62),BO56-BO62,BO60-BO59)</f>
        <v>-623534.571478844</v>
      </c>
      <c r="BP63" s="203" t="n">
        <f aca="false">IF(ISNUMBER(BP62),BP56-BP62,BP60-BP59)</f>
        <v>-623534.571478844</v>
      </c>
      <c r="BQ63" s="203" t="n">
        <f aca="false">IF(ISNUMBER(BQ62),BQ56-BQ62,BQ60-BQ59)</f>
        <v>-682710.571478844</v>
      </c>
      <c r="BR63" s="203" t="n">
        <f aca="false">IF(ISNUMBER(BR62),BR56-BR62,BR60-BR59)</f>
        <v>-623534.571478844</v>
      </c>
      <c r="BS63" s="203" t="n">
        <f aca="false">IF(ISNUMBER(BS62),BS56-BS62,BS60-BS59)</f>
        <v>-623534.571478844</v>
      </c>
      <c r="BT63" s="203" t="n">
        <f aca="false">IF(ISNUMBER(BT62),BT56-BT62,BT60-BT59)</f>
        <v>-638047.221478844</v>
      </c>
      <c r="BU63" s="203" t="n">
        <f aca="false">IF(ISNUMBER(BU62),BU56-BU62,BU60-BU59)</f>
        <v>-623534.571478844</v>
      </c>
      <c r="BV63" s="203" t="n">
        <f aca="false">IF(ISNUMBER(BV62),BV56-BV62,BV60-BV59)</f>
        <v>-623534.571478844</v>
      </c>
      <c r="BW63" s="203" t="n">
        <f aca="false">IF(ISNUMBER(BW62),BW56-BW62,BW60-BW59)</f>
        <v>-623534.571478844</v>
      </c>
      <c r="BX63" s="203" t="n">
        <f aca="false">IF(ISNUMBER(BX62),BX56-BX62,BX60-BX59)</f>
        <v>-623534.571478844</v>
      </c>
      <c r="BY63" s="203" t="n">
        <f aca="false">IF(ISNUMBER(BY62),BY56-BY62,BY60-BY59)</f>
        <v>-623534.571478844</v>
      </c>
      <c r="BZ63" s="203" t="n">
        <f aca="false">IF(ISNUMBER(BZ62),BZ56-BZ62,BZ60-BZ59)</f>
        <v>-623534.571478844</v>
      </c>
      <c r="CA63" s="203" t="n">
        <f aca="false">IF(ISNUMBER(CA62),CA56-CA62,CA60-CA59)</f>
        <v>-635905.262908421</v>
      </c>
      <c r="CB63" s="203" t="n">
        <f aca="false">IF(ISNUMBER(CB62),CB56-CB62,CB60-CB59)</f>
        <v>-635905.262908421</v>
      </c>
      <c r="CC63" s="203" t="n">
        <f aca="false">IF(ISNUMBER(CC62),CC56-CC62,CC60-CC59)</f>
        <v>-635905.262908421</v>
      </c>
      <c r="CD63" s="203" t="n">
        <f aca="false">IF(ISNUMBER(CD62),CD56-CD62,CD60-CD59)</f>
        <v>-635905.262908421</v>
      </c>
      <c r="CE63" s="203" t="n">
        <f aca="false">IF(ISNUMBER(CE62),CE56-CE62,CE60-CE59)</f>
        <v>-635905.262908421</v>
      </c>
      <c r="CF63" s="203" t="n">
        <f aca="false">IF(ISNUMBER(CF62),CF56-CF62,CF60-CF59)</f>
        <v>-635905.262908421</v>
      </c>
      <c r="CG63" s="203" t="n">
        <f aca="false">IF(ISNUMBER(CG62),CG56-CG62,CG60-CG59)</f>
        <v>-635905.262908421</v>
      </c>
      <c r="CH63" s="203" t="n">
        <f aca="false">IF(ISNUMBER(CH62),CH56-CH62,CH60-CH59)</f>
        <v>-635905.262908421</v>
      </c>
      <c r="CI63" s="203" t="n">
        <f aca="false">IF(ISNUMBER(CI62),CI56-CI62,CI60-CI59)</f>
        <v>-635905.262908421</v>
      </c>
      <c r="CJ63" s="203" t="n">
        <f aca="false">IF(ISNUMBER(CJ62),CJ56-CJ62,CJ60-CJ59)</f>
        <v>-635905.262908421</v>
      </c>
      <c r="CK63" s="203" t="n">
        <f aca="false">IF(ISNUMBER(CK62),CK56-CK62,CK60-CK59)</f>
        <v>-635905.262908421</v>
      </c>
      <c r="CL63" s="203" t="n">
        <f aca="false">IF(ISNUMBER(CL62),CL56-CL62,CL60-CL59)</f>
        <v>-635905.262908421</v>
      </c>
      <c r="CM63" s="203" t="n">
        <f aca="false">IF(ISNUMBER(CM62),CM56-CM62,CM60-CM59)</f>
        <v>-648523.368166589</v>
      </c>
      <c r="CN63" s="203" t="n">
        <f aca="false">IF(ISNUMBER(CN62),CN56-CN62,CN60-CN59)</f>
        <v>-648523.368166589</v>
      </c>
      <c r="CO63" s="203" t="n">
        <f aca="false">IF(ISNUMBER(CO62),CO56-CO62,CO60-CO59)</f>
        <v>-648523.368166589</v>
      </c>
      <c r="CP63" s="203" t="n">
        <f aca="false">IF(ISNUMBER(CP62),CP56-CP62,CP60-CP59)</f>
        <v>-648523.368166589</v>
      </c>
      <c r="CQ63" s="203" t="n">
        <f aca="false">IF(ISNUMBER(CQ62),CQ56-CQ62,CQ60-CQ59)</f>
        <v>-648523.368166589</v>
      </c>
      <c r="CR63" s="203" t="n">
        <f aca="false">IF(ISNUMBER(CR62),CR56-CR62,CR60-CR59)</f>
        <v>-648523.368166589</v>
      </c>
      <c r="CS63" s="203" t="n">
        <f aca="false">IF(ISNUMBER(CS62),CS56-CS62,CS60-CS59)</f>
        <v>-648523.368166589</v>
      </c>
      <c r="CT63" s="203" t="n">
        <f aca="false">IF(ISNUMBER(CT62),CT56-CT62,CT60-CT59)</f>
        <v>-648523.368166589</v>
      </c>
      <c r="CU63" s="203" t="n">
        <f aca="false">IF(ISNUMBER(CU62),CU56-CU62,CU60-CU59)</f>
        <v>-648523.368166589</v>
      </c>
      <c r="CV63" s="203" t="n">
        <f aca="false">IF(ISNUMBER(CV62),CV56-CV62,CV60-CV59)</f>
        <v>-587721.239873812</v>
      </c>
      <c r="CW63" s="203" t="n">
        <f aca="false">IF(ISNUMBER(CW62),CW56-CW62,CW60-CW59)</f>
        <v>-587721.239873812</v>
      </c>
      <c r="CX63" s="203" t="n">
        <f aca="false">IF(ISNUMBER(CX62),CX56-CX62,CX60-CX59)</f>
        <v>-587721.239873812</v>
      </c>
      <c r="CY63" s="203" t="n">
        <f aca="false">IF(ISNUMBER(CY62),CY56-CY62,CY60-CY59)</f>
        <v>-599375.664671288</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599</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1.36052441309347</v>
      </c>
      <c r="Q64" s="204" t="n">
        <f aca="false">IFERROR(Q60/Q59,"")</f>
        <v>1.05072798214985</v>
      </c>
      <c r="R64" s="204" t="n">
        <f aca="false">IFERROR(R60/R59,"")</f>
        <v>1.2688833856247</v>
      </c>
      <c r="S64" s="204" t="n">
        <f aca="false">IFERROR(S60/S59,"")</f>
        <v>1.16576660573831</v>
      </c>
      <c r="T64" s="204" t="n">
        <f aca="false">IFERROR(T60/T59,"")</f>
        <v>1.08418615788334</v>
      </c>
      <c r="U64" s="204" t="n">
        <f aca="false">IFERROR(U60/U59,"")</f>
        <v>1.0634415594876</v>
      </c>
      <c r="V64" s="204" t="n">
        <f aca="false">IFERROR(V60/V59,"")</f>
        <v>1.17574740135018</v>
      </c>
      <c r="W64" s="204" t="n">
        <f aca="false">IFERROR(W60/W59,"")</f>
        <v>1.02149587841433</v>
      </c>
      <c r="X64" s="204" t="n">
        <f aca="false">IFERROR(X60/X59,"")</f>
        <v>1.14225704997191</v>
      </c>
      <c r="Y64" s="204" t="n">
        <f aca="false">IFERROR(Y60/Y59,"")</f>
        <v>0.998720352421847</v>
      </c>
      <c r="Z64" s="204" t="n">
        <f aca="false">IFERROR(Z60/Z59,"")</f>
        <v>1.26015380096171</v>
      </c>
      <c r="AA64" s="204" t="n">
        <f aca="false">IFERROR(AA60/AA59,"")</f>
        <v>1.02046001929448</v>
      </c>
      <c r="AB64" s="204" t="n">
        <f aca="false">IFERROR(AB60/AB59,"")</f>
        <v>1.23723764048023</v>
      </c>
      <c r="AC64" s="204" t="n">
        <f aca="false">IFERROR(AC60/AC59,"")</f>
        <v>1.34814719965016</v>
      </c>
      <c r="AD64" s="204" t="n">
        <f aca="false">IFERROR(AD60/AD59,"")</f>
        <v>1.05303261688631</v>
      </c>
      <c r="AE64" s="204" t="n">
        <f aca="false">IFERROR(AE60/AE59,"")</f>
        <v>0.689498029143545</v>
      </c>
      <c r="AF64" s="204" t="n">
        <f aca="false">IFERROR(AF60/AF59,"")</f>
        <v>0.754251366467901</v>
      </c>
      <c r="AG64" s="204" t="n">
        <f aca="false">IFERROR(AG60/AG59,"")</f>
        <v>0.738825914269288</v>
      </c>
      <c r="AH64" s="204" t="n">
        <f aca="false">IFERROR(AH60/AH59,"")</f>
        <v>1.02736420495598</v>
      </c>
      <c r="AI64" s="204" t="n">
        <f aca="false">IFERROR(AI60/AI59,"")</f>
        <v>0.874431408637041</v>
      </c>
      <c r="AJ64" s="204" t="n">
        <f aca="false">IFERROR(AJ60/AJ59,"")</f>
        <v>0.641903988644489</v>
      </c>
      <c r="AK64" s="204" t="n">
        <f aca="false">IFERROR(AK60/AK59,"")</f>
        <v>0.631413597896368</v>
      </c>
      <c r="AL64" s="204" t="n">
        <f aca="false">IFERROR(AL60/AL59,"")</f>
        <v>0.640550312828377</v>
      </c>
      <c r="AM64" s="204" t="n">
        <f aca="false">IFERROR(AM60/AM59,"")</f>
        <v>0.207904994538623</v>
      </c>
      <c r="AN64" s="204" t="n">
        <f aca="false">IFERROR(AN60/AN59,"")</f>
        <v>0.232247687984888</v>
      </c>
      <c r="AO64" s="204" t="n">
        <f aca="false">IFERROR(AO60/AO59,"")</f>
        <v>0.252459645587887</v>
      </c>
      <c r="AP64" s="204" t="n">
        <f aca="false">IFERROR(AP60/AP59,"")</f>
        <v>0.0679220935303231</v>
      </c>
      <c r="AQ64" s="204" t="n">
        <f aca="false">IFERROR(AQ60/AQ59,"")</f>
        <v>0</v>
      </c>
      <c r="AR64" s="204" t="n">
        <f aca="false">IFERROR(AR60/AR59,"")</f>
        <v>0</v>
      </c>
      <c r="AS64" s="204" t="n">
        <f aca="false">IFERROR(AS60/AS59,"")</f>
        <v>0</v>
      </c>
      <c r="AT64" s="204" t="n">
        <f aca="false">IFERROR(AT60/AT59,"")</f>
        <v>0</v>
      </c>
      <c r="AU64" s="204" t="n">
        <f aca="false">IFERROR(AU60/AU59,"")</f>
        <v>0</v>
      </c>
      <c r="AV64" s="204" t="n">
        <f aca="false">IFERROR(AV60/AV59,"")</f>
        <v>0</v>
      </c>
      <c r="AW64" s="204" t="n">
        <f aca="false">IFERROR(AW60/AW59,"")</f>
        <v>0</v>
      </c>
      <c r="AX64" s="204" t="n">
        <f aca="false">IFERROR(AX60/AX59,"")</f>
        <v>0</v>
      </c>
      <c r="AY64" s="204" t="n">
        <f aca="false">IFERROR(AY60/AY59,"")</f>
        <v>0</v>
      </c>
      <c r="AZ64" s="204" t="n">
        <f aca="false">IFERROR(AZ60/AZ59,"")</f>
        <v>0</v>
      </c>
      <c r="BA64" s="204" t="n">
        <f aca="false">IFERROR(BA60/BA59,"")</f>
        <v>0</v>
      </c>
      <c r="BB64" s="204" t="n">
        <f aca="false">IFERROR(BB60/BB59,"")</f>
        <v>0</v>
      </c>
      <c r="BC64" s="204" t="n">
        <f aca="false">IFERROR(BC60/BC59,"")</f>
        <v>0</v>
      </c>
      <c r="BD64" s="204" t="n">
        <f aca="false">IFERROR(BD60/BD59,"")</f>
        <v>0</v>
      </c>
      <c r="BE64" s="204" t="n">
        <f aca="false">IFERROR(BE60/BE59,"")</f>
        <v>0</v>
      </c>
      <c r="BF64" s="204" t="n">
        <f aca="false">IFERROR(BF60/BF59,"")</f>
        <v>0</v>
      </c>
      <c r="BG64" s="204" t="n">
        <f aca="false">IFERROR(BG60/BG59,"")</f>
        <v>0</v>
      </c>
      <c r="BH64" s="204" t="n">
        <f aca="false">IFERROR(BH60/BH59,"")</f>
        <v>0</v>
      </c>
      <c r="BI64" s="204" t="n">
        <f aca="false">IFERROR(BI60/BI59,"")</f>
        <v>0</v>
      </c>
      <c r="BJ64" s="204" t="n">
        <f aca="false">IFERROR(BJ60/BJ59,"")</f>
        <v>0</v>
      </c>
      <c r="BK64" s="204" t="n">
        <f aca="false">IFERROR(BK60/BK59,"")</f>
        <v>0</v>
      </c>
      <c r="BL64" s="204" t="n">
        <f aca="false">IFERROR(BL60/BL59,"")</f>
        <v>0</v>
      </c>
      <c r="BM64" s="204" t="n">
        <f aca="false">IFERROR(BM60/BM59,"")</f>
        <v>0</v>
      </c>
      <c r="BN64" s="204" t="n">
        <f aca="false">IFERROR(BN60/BN59,"")</f>
        <v>0</v>
      </c>
      <c r="BO64" s="204" t="n">
        <f aca="false">IFERROR(BO60/BO59,"")</f>
        <v>0</v>
      </c>
      <c r="BP64" s="204" t="n">
        <f aca="false">IFERROR(BP60/BP59,"")</f>
        <v>0</v>
      </c>
      <c r="BQ64" s="204" t="n">
        <f aca="false">IFERROR(BQ60/BQ59,"")</f>
        <v>0</v>
      </c>
      <c r="BR64" s="204" t="n">
        <f aca="false">IFERROR(BR60/BR59,"")</f>
        <v>0</v>
      </c>
      <c r="BS64" s="204" t="n">
        <f aca="false">IFERROR(BS60/BS59,"")</f>
        <v>0</v>
      </c>
      <c r="BT64" s="204" t="n">
        <f aca="false">IFERROR(BT60/BT59,"")</f>
        <v>0</v>
      </c>
      <c r="BU64" s="204" t="n">
        <f aca="false">IFERROR(BU60/BU59,"")</f>
        <v>0</v>
      </c>
      <c r="BV64" s="204" t="n">
        <f aca="false">IFERROR(BV60/BV59,"")</f>
        <v>0</v>
      </c>
      <c r="BW64" s="204" t="n">
        <f aca="false">IFERROR(BW60/BW59,"")</f>
        <v>0</v>
      </c>
      <c r="BX64" s="204" t="n">
        <f aca="false">IFERROR(BX60/BX59,"")</f>
        <v>0</v>
      </c>
      <c r="BY64" s="204" t="n">
        <f aca="false">IFERROR(BY60/BY59,"")</f>
        <v>0</v>
      </c>
      <c r="BZ64" s="204" t="n">
        <f aca="false">IFERROR(BZ60/BZ59,"")</f>
        <v>0</v>
      </c>
      <c r="CA64" s="204" t="n">
        <f aca="false">IFERROR(CA60/CA59,"")</f>
        <v>0</v>
      </c>
      <c r="CB64" s="204" t="n">
        <f aca="false">IFERROR(CB60/CB59,"")</f>
        <v>0</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600</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601</v>
      </c>
    </row>
    <row r="2" customFormat="false" ht="13.5" hidden="false" customHeight="true" outlineLevel="0" collapsed="false">
      <c r="A2" s="207" t="s">
        <v>602</v>
      </c>
    </row>
    <row r="3" customFormat="false" ht="13.5" hidden="false" customHeight="true" outlineLevel="0" collapsed="false">
      <c r="C3" s="208" t="s">
        <v>603</v>
      </c>
      <c r="D3" s="208" t="s">
        <v>604</v>
      </c>
    </row>
    <row r="4" customFormat="false" ht="13.5" hidden="false" customHeight="true" outlineLevel="0" collapsed="false">
      <c r="A4" s="125" t="s">
        <v>605</v>
      </c>
      <c r="C4" s="120" t="n">
        <f aca="false">COUNTIFS($F$9:$F$100,"GC",$L$9:$L$100,"Current*")-COUNTIFS($A$9:$A$100,"*(Corporate)*",$F$9:$F$100,"GC")</f>
        <v>25</v>
      </c>
      <c r="D4" s="209" t="n">
        <f aca="false">SUMIFS($C$9:$C$100,$F$9:$F$100,"GC",$L$9:$L$100,"Current*")</f>
        <v>3440572</v>
      </c>
    </row>
    <row r="5" customFormat="false" ht="13.5" hidden="false" customHeight="true" outlineLevel="0" collapsed="false">
      <c r="A5" s="125" t="s">
        <v>606</v>
      </c>
      <c r="C5" s="120" t="n">
        <f aca="false">COUNTIFS($F$9:$F$100,"SixPeak",$L$9:$L$100,"Current*")</f>
        <v>7</v>
      </c>
      <c r="D5" s="209" t="n">
        <f aca="false">SUMIFS($C$9:$C$100,$F$9:$F$100,"SixPeak",$L$9:$L$100,"Current*")</f>
        <v>1787000</v>
      </c>
    </row>
    <row r="6" customFormat="false" ht="13.5" hidden="false" customHeight="true" outlineLevel="0" collapsed="false">
      <c r="A6" s="210" t="s">
        <v>607</v>
      </c>
    </row>
    <row r="8" customFormat="false" ht="27" hidden="false" customHeight="true" outlineLevel="0" collapsed="false">
      <c r="A8" s="176" t="s">
        <v>608</v>
      </c>
      <c r="B8" s="176" t="s">
        <v>609</v>
      </c>
      <c r="C8" s="176" t="s">
        <v>610</v>
      </c>
      <c r="D8" s="176" t="s">
        <v>611</v>
      </c>
      <c r="E8" s="176" t="s">
        <v>552</v>
      </c>
      <c r="F8" s="176" t="s">
        <v>561</v>
      </c>
      <c r="G8" s="176" t="s">
        <v>556</v>
      </c>
      <c r="H8" s="176" t="s">
        <v>612</v>
      </c>
      <c r="I8" s="176" t="s">
        <v>613</v>
      </c>
      <c r="J8" s="176" t="s">
        <v>614</v>
      </c>
      <c r="K8" s="176" t="s">
        <v>570</v>
      </c>
      <c r="L8" s="176" t="s">
        <v>615</v>
      </c>
      <c r="M8" s="176" t="s">
        <v>616</v>
      </c>
      <c r="N8" s="176" t="s">
        <v>617</v>
      </c>
      <c r="O8" s="176" t="s">
        <v>618</v>
      </c>
      <c r="P8" s="176" t="s">
        <v>619</v>
      </c>
      <c r="Q8" s="176" t="s">
        <v>620</v>
      </c>
    </row>
    <row r="9" customFormat="false" ht="13.5" hidden="false" customHeight="true" outlineLevel="0" collapsed="false">
      <c r="A9" s="211" t="s">
        <v>621</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622</v>
      </c>
      <c r="B10" s="110" t="s">
        <v>623</v>
      </c>
      <c r="C10" s="213" t="n">
        <v>70000</v>
      </c>
      <c r="D10" s="213" t="n">
        <f aca="false">C10/12</f>
        <v>5833.33333333333</v>
      </c>
      <c r="E10" s="182" t="n">
        <v>1</v>
      </c>
      <c r="F10" s="110" t="s">
        <v>624</v>
      </c>
      <c r="G10" s="182" t="s">
        <v>572</v>
      </c>
      <c r="H10" s="214" t="n">
        <v>0</v>
      </c>
      <c r="I10" s="214" t="n">
        <v>0</v>
      </c>
      <c r="J10" s="110" t="s">
        <v>625</v>
      </c>
      <c r="K10" s="182"/>
      <c r="L10" s="110" t="s">
        <v>626</v>
      </c>
      <c r="M10" s="110"/>
      <c r="N10" s="110"/>
      <c r="O10" s="110" t="s">
        <v>624</v>
      </c>
      <c r="P10" s="110" t="s">
        <v>627</v>
      </c>
      <c r="Q10" s="1" t="s">
        <v>572</v>
      </c>
    </row>
    <row r="11" customFormat="false" ht="13.5" hidden="false" customHeight="true" outlineLevel="0" collapsed="false">
      <c r="A11" s="215" t="s">
        <v>628</v>
      </c>
      <c r="B11" s="215" t="s">
        <v>629</v>
      </c>
      <c r="C11" s="216" t="n">
        <v>80000</v>
      </c>
      <c r="D11" s="216" t="n">
        <f aca="false">C11/12</f>
        <v>6666.66666666667</v>
      </c>
      <c r="E11" s="217" t="n">
        <v>1</v>
      </c>
      <c r="F11" s="215" t="s">
        <v>624</v>
      </c>
      <c r="G11" s="217" t="s">
        <v>572</v>
      </c>
      <c r="H11" s="218" t="n">
        <v>0.5</v>
      </c>
      <c r="I11" s="218" t="n">
        <v>0</v>
      </c>
      <c r="J11" s="215" t="s">
        <v>625</v>
      </c>
      <c r="K11" s="217"/>
      <c r="L11" s="215" t="s">
        <v>626</v>
      </c>
      <c r="M11" s="215"/>
      <c r="N11" s="215"/>
      <c r="O11" s="215" t="s">
        <v>624</v>
      </c>
      <c r="P11" s="215" t="s">
        <v>627</v>
      </c>
      <c r="Q11" s="1" t="s">
        <v>572</v>
      </c>
    </row>
    <row r="12" customFormat="false" ht="13.5" hidden="false" customHeight="true" outlineLevel="0" collapsed="false">
      <c r="A12" s="110" t="s">
        <v>630</v>
      </c>
      <c r="B12" s="110" t="s">
        <v>631</v>
      </c>
      <c r="C12" s="213" t="n">
        <v>25000</v>
      </c>
      <c r="D12" s="213" t="n">
        <f aca="false">C12/12</f>
        <v>2083.33333333333</v>
      </c>
      <c r="E12" s="182" t="n">
        <v>1</v>
      </c>
      <c r="F12" s="110" t="s">
        <v>624</v>
      </c>
      <c r="G12" s="182" t="s">
        <v>572</v>
      </c>
      <c r="H12" s="214" t="n">
        <v>0.5</v>
      </c>
      <c r="I12" s="214" t="n">
        <v>0</v>
      </c>
      <c r="J12" s="110" t="s">
        <v>625</v>
      </c>
      <c r="K12" s="182" t="n">
        <v>9</v>
      </c>
      <c r="L12" s="110" t="s">
        <v>632</v>
      </c>
      <c r="M12" s="110"/>
      <c r="N12" s="110" t="s">
        <v>633</v>
      </c>
      <c r="O12" s="110" t="s">
        <v>624</v>
      </c>
      <c r="P12" s="110" t="s">
        <v>627</v>
      </c>
      <c r="Q12" s="1" t="s">
        <v>572</v>
      </c>
    </row>
    <row r="13" customFormat="false" ht="13.5" hidden="false" customHeight="true" outlineLevel="0" collapsed="false">
      <c r="A13" s="215" t="s">
        <v>634</v>
      </c>
      <c r="B13" s="215" t="s">
        <v>631</v>
      </c>
      <c r="C13" s="216" t="n">
        <v>10000</v>
      </c>
      <c r="D13" s="216" t="n">
        <f aca="false">C13/12</f>
        <v>833.333333333333</v>
      </c>
      <c r="E13" s="217" t="n">
        <v>1</v>
      </c>
      <c r="F13" s="215" t="s">
        <v>624</v>
      </c>
      <c r="G13" s="217" t="s">
        <v>572</v>
      </c>
      <c r="H13" s="218" t="n">
        <v>0</v>
      </c>
      <c r="I13" s="218" t="n">
        <v>0</v>
      </c>
      <c r="J13" s="215" t="s">
        <v>625</v>
      </c>
      <c r="K13" s="217"/>
      <c r="L13" s="215" t="s">
        <v>626</v>
      </c>
      <c r="M13" s="215"/>
      <c r="N13" s="215"/>
      <c r="O13" s="215" t="s">
        <v>624</v>
      </c>
      <c r="P13" s="215" t="s">
        <v>627</v>
      </c>
      <c r="Q13" s="1" t="s">
        <v>572</v>
      </c>
    </row>
    <row r="14" customFormat="false" ht="13.5" hidden="false" customHeight="true" outlineLevel="0" collapsed="false">
      <c r="A14" s="110" t="s">
        <v>635</v>
      </c>
      <c r="B14" s="110" t="s">
        <v>636</v>
      </c>
      <c r="C14" s="213" t="n">
        <v>20000</v>
      </c>
      <c r="D14" s="213" t="n">
        <f aca="false">C14/12</f>
        <v>1666.66666666667</v>
      </c>
      <c r="E14" s="182" t="n">
        <v>1</v>
      </c>
      <c r="F14" s="110" t="s">
        <v>624</v>
      </c>
      <c r="G14" s="182" t="s">
        <v>572</v>
      </c>
      <c r="H14" s="214" t="n">
        <v>0</v>
      </c>
      <c r="I14" s="214" t="n">
        <v>0</v>
      </c>
      <c r="J14" s="110" t="s">
        <v>625</v>
      </c>
      <c r="K14" s="182"/>
      <c r="L14" s="110" t="s">
        <v>626</v>
      </c>
      <c r="M14" s="110"/>
      <c r="N14" s="110"/>
      <c r="O14" s="110" t="s">
        <v>624</v>
      </c>
      <c r="P14" s="110" t="s">
        <v>627</v>
      </c>
      <c r="Q14" s="1" t="s">
        <v>572</v>
      </c>
    </row>
    <row r="16" customFormat="false" ht="13.5" hidden="false" customHeight="true" outlineLevel="0" collapsed="false">
      <c r="A16" s="211" t="s">
        <v>637</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638</v>
      </c>
      <c r="B17" s="110" t="s">
        <v>629</v>
      </c>
      <c r="C17" s="213" t="n">
        <v>320000</v>
      </c>
      <c r="D17" s="213" t="n">
        <f aca="false">C17/12</f>
        <v>26666.6666666667</v>
      </c>
      <c r="E17" s="182" t="n">
        <v>1</v>
      </c>
      <c r="F17" s="110" t="s">
        <v>624</v>
      </c>
      <c r="G17" s="182" t="s">
        <v>572</v>
      </c>
      <c r="H17" s="214" t="n">
        <v>0.5</v>
      </c>
      <c r="I17" s="214" t="n">
        <v>0</v>
      </c>
      <c r="J17" s="110" t="s">
        <v>639</v>
      </c>
      <c r="K17" s="182"/>
      <c r="L17" s="110" t="s">
        <v>626</v>
      </c>
      <c r="M17" s="110"/>
      <c r="N17" s="110"/>
      <c r="O17" s="110" t="s">
        <v>624</v>
      </c>
      <c r="P17" s="110" t="s">
        <v>627</v>
      </c>
      <c r="Q17" s="1" t="s">
        <v>572</v>
      </c>
    </row>
    <row r="18" customFormat="false" ht="13.5" hidden="false" customHeight="true" outlineLevel="0" collapsed="false">
      <c r="A18" s="215" t="s">
        <v>640</v>
      </c>
      <c r="B18" s="215" t="s">
        <v>631</v>
      </c>
      <c r="C18" s="216" t="n">
        <v>225000</v>
      </c>
      <c r="D18" s="216" t="n">
        <f aca="false">C18/12</f>
        <v>18750</v>
      </c>
      <c r="E18" s="217" t="n">
        <v>1</v>
      </c>
      <c r="F18" s="215" t="s">
        <v>624</v>
      </c>
      <c r="G18" s="217" t="s">
        <v>572</v>
      </c>
      <c r="H18" s="218" t="n">
        <v>0.5</v>
      </c>
      <c r="I18" s="218" t="n">
        <v>0</v>
      </c>
      <c r="J18" s="215" t="s">
        <v>639</v>
      </c>
      <c r="K18" s="217" t="n">
        <v>9</v>
      </c>
      <c r="L18" s="215" t="s">
        <v>632</v>
      </c>
      <c r="M18" s="215"/>
      <c r="N18" s="215" t="s">
        <v>633</v>
      </c>
      <c r="O18" s="215" t="s">
        <v>624</v>
      </c>
      <c r="P18" s="215" t="s">
        <v>627</v>
      </c>
      <c r="Q18" s="1" t="s">
        <v>572</v>
      </c>
    </row>
    <row r="19" customFormat="false" ht="13.5" hidden="false" customHeight="true" outlineLevel="0" collapsed="false">
      <c r="A19" s="110" t="s">
        <v>641</v>
      </c>
      <c r="B19" s="110" t="s">
        <v>631</v>
      </c>
      <c r="C19" s="213" t="n">
        <v>180000</v>
      </c>
      <c r="D19" s="213" t="n">
        <f aca="false">C19/12</f>
        <v>15000</v>
      </c>
      <c r="E19" s="182" t="n">
        <v>1</v>
      </c>
      <c r="F19" s="110" t="s">
        <v>624</v>
      </c>
      <c r="G19" s="182" t="s">
        <v>572</v>
      </c>
      <c r="H19" s="214" t="n">
        <v>0</v>
      </c>
      <c r="I19" s="214" t="n">
        <v>0</v>
      </c>
      <c r="J19" s="110" t="s">
        <v>639</v>
      </c>
      <c r="K19" s="182"/>
      <c r="L19" s="110" t="s">
        <v>626</v>
      </c>
      <c r="M19" s="110"/>
      <c r="N19" s="110"/>
      <c r="O19" s="110" t="s">
        <v>624</v>
      </c>
      <c r="P19" s="110" t="s">
        <v>642</v>
      </c>
      <c r="Q19" s="1" t="s">
        <v>572</v>
      </c>
    </row>
    <row r="20" customFormat="false" ht="13.5" hidden="false" customHeight="true" outlineLevel="0" collapsed="false">
      <c r="A20" s="215" t="s">
        <v>643</v>
      </c>
      <c r="B20" s="215" t="s">
        <v>636</v>
      </c>
      <c r="C20" s="216" t="n">
        <v>180000</v>
      </c>
      <c r="D20" s="216" t="n">
        <f aca="false">C20/12</f>
        <v>15000</v>
      </c>
      <c r="E20" s="217" t="n">
        <v>1</v>
      </c>
      <c r="F20" s="215" t="s">
        <v>624</v>
      </c>
      <c r="G20" s="217" t="s">
        <v>572</v>
      </c>
      <c r="H20" s="218" t="n">
        <v>0</v>
      </c>
      <c r="I20" s="218" t="n">
        <v>0</v>
      </c>
      <c r="J20" s="215" t="s">
        <v>639</v>
      </c>
      <c r="K20" s="217"/>
      <c r="L20" s="215" t="s">
        <v>626</v>
      </c>
      <c r="M20" s="215"/>
      <c r="N20" s="215"/>
      <c r="O20" s="215" t="s">
        <v>624</v>
      </c>
      <c r="P20" s="215" t="s">
        <v>642</v>
      </c>
      <c r="Q20" s="1" t="s">
        <v>572</v>
      </c>
    </row>
    <row r="21" customFormat="false" ht="13.5" hidden="false" customHeight="true" outlineLevel="0" collapsed="false">
      <c r="A21" s="110" t="s">
        <v>644</v>
      </c>
      <c r="B21" s="110" t="s">
        <v>645</v>
      </c>
      <c r="C21" s="213" t="n">
        <v>105000</v>
      </c>
      <c r="D21" s="213" t="n">
        <f aca="false">C21/12</f>
        <v>8750</v>
      </c>
      <c r="E21" s="182" t="n">
        <v>3</v>
      </c>
      <c r="F21" s="110" t="s">
        <v>624</v>
      </c>
      <c r="G21" s="182" t="s">
        <v>572</v>
      </c>
      <c r="H21" s="214" t="n">
        <v>0</v>
      </c>
      <c r="I21" s="214" t="n">
        <v>0</v>
      </c>
      <c r="J21" s="110" t="s">
        <v>639</v>
      </c>
      <c r="K21" s="182"/>
      <c r="L21" s="110" t="s">
        <v>626</v>
      </c>
      <c r="M21" s="110"/>
      <c r="N21" s="110"/>
      <c r="O21" s="110" t="s">
        <v>624</v>
      </c>
      <c r="P21" s="110" t="s">
        <v>646</v>
      </c>
      <c r="Q21" s="1" t="s">
        <v>572</v>
      </c>
    </row>
    <row r="22" customFormat="false" ht="13.5" hidden="false" customHeight="true" outlineLevel="0" collapsed="false">
      <c r="A22" s="215" t="s">
        <v>647</v>
      </c>
      <c r="B22" s="215" t="s">
        <v>648</v>
      </c>
      <c r="C22" s="216" t="n">
        <v>155000</v>
      </c>
      <c r="D22" s="216" t="n">
        <f aca="false">C22/12</f>
        <v>12916.6666666667</v>
      </c>
      <c r="E22" s="217" t="n">
        <v>1</v>
      </c>
      <c r="F22" s="215" t="s">
        <v>624</v>
      </c>
      <c r="G22" s="217" t="s">
        <v>572</v>
      </c>
      <c r="H22" s="218" t="n">
        <v>0</v>
      </c>
      <c r="I22" s="218" t="n">
        <v>0</v>
      </c>
      <c r="J22" s="215" t="s">
        <v>639</v>
      </c>
      <c r="K22" s="217"/>
      <c r="L22" s="215" t="s">
        <v>626</v>
      </c>
      <c r="M22" s="215"/>
      <c r="N22" s="215"/>
      <c r="O22" s="215" t="s">
        <v>624</v>
      </c>
      <c r="P22" s="215" t="s">
        <v>642</v>
      </c>
      <c r="Q22" s="1" t="s">
        <v>572</v>
      </c>
    </row>
    <row r="23" customFormat="false" ht="13.5" hidden="false" customHeight="true" outlineLevel="0" collapsed="false">
      <c r="A23" s="110" t="s">
        <v>649</v>
      </c>
      <c r="B23" s="110" t="s">
        <v>650</v>
      </c>
      <c r="C23" s="213" t="n">
        <v>185000</v>
      </c>
      <c r="D23" s="213" t="n">
        <f aca="false">C23/12</f>
        <v>15416.6666666667</v>
      </c>
      <c r="E23" s="182" t="n">
        <v>1</v>
      </c>
      <c r="F23" s="110" t="s">
        <v>624</v>
      </c>
      <c r="G23" s="182" t="s">
        <v>572</v>
      </c>
      <c r="H23" s="214" t="n">
        <v>0</v>
      </c>
      <c r="I23" s="214" t="n">
        <v>0</v>
      </c>
      <c r="J23" s="110" t="s">
        <v>639</v>
      </c>
      <c r="K23" s="182"/>
      <c r="L23" s="110" t="s">
        <v>626</v>
      </c>
      <c r="M23" s="110"/>
      <c r="N23" s="110"/>
      <c r="O23" s="110" t="s">
        <v>624</v>
      </c>
      <c r="P23" s="110" t="s">
        <v>651</v>
      </c>
      <c r="Q23" s="1" t="s">
        <v>572</v>
      </c>
    </row>
    <row r="24" customFormat="false" ht="13.5" hidden="false" customHeight="true" outlineLevel="0" collapsed="false">
      <c r="A24" s="215" t="s">
        <v>652</v>
      </c>
      <c r="B24" s="215" t="s">
        <v>653</v>
      </c>
      <c r="C24" s="216" t="n">
        <v>90000</v>
      </c>
      <c r="D24" s="216" t="n">
        <f aca="false">C24/12</f>
        <v>7500</v>
      </c>
      <c r="E24" s="217" t="n">
        <v>3</v>
      </c>
      <c r="F24" s="215" t="s">
        <v>624</v>
      </c>
      <c r="G24" s="217" t="s">
        <v>572</v>
      </c>
      <c r="H24" s="218" t="n">
        <v>0</v>
      </c>
      <c r="I24" s="218" t="n">
        <v>0</v>
      </c>
      <c r="J24" s="215" t="s">
        <v>639</v>
      </c>
      <c r="K24" s="217"/>
      <c r="L24" s="215" t="s">
        <v>626</v>
      </c>
      <c r="M24" s="215"/>
      <c r="N24" s="215"/>
      <c r="O24" s="215" t="s">
        <v>624</v>
      </c>
      <c r="P24" s="215" t="s">
        <v>654</v>
      </c>
      <c r="Q24" s="1" t="s">
        <v>572</v>
      </c>
    </row>
    <row r="25" customFormat="false" ht="13.5" hidden="false" customHeight="true" outlineLevel="0" collapsed="false">
      <c r="A25" s="110" t="s">
        <v>655</v>
      </c>
      <c r="B25" s="110" t="s">
        <v>653</v>
      </c>
      <c r="C25" s="213" t="n">
        <v>97500</v>
      </c>
      <c r="D25" s="213" t="n">
        <f aca="false">C25/12</f>
        <v>8125</v>
      </c>
      <c r="E25" s="182" t="n">
        <v>1</v>
      </c>
      <c r="F25" s="110" t="s">
        <v>624</v>
      </c>
      <c r="G25" s="182" t="s">
        <v>572</v>
      </c>
      <c r="H25" s="214" t="n">
        <v>0</v>
      </c>
      <c r="I25" s="214" t="n">
        <v>0</v>
      </c>
      <c r="J25" s="110" t="s">
        <v>639</v>
      </c>
      <c r="K25" s="182"/>
      <c r="L25" s="110" t="s">
        <v>626</v>
      </c>
      <c r="M25" s="110"/>
      <c r="N25" s="110"/>
      <c r="O25" s="110" t="s">
        <v>624</v>
      </c>
      <c r="P25" s="110" t="s">
        <v>654</v>
      </c>
      <c r="Q25" s="1" t="s">
        <v>572</v>
      </c>
    </row>
    <row r="26" customFormat="false" ht="13.5" hidden="false" customHeight="true" outlineLevel="0" collapsed="false">
      <c r="A26" s="215" t="s">
        <v>656</v>
      </c>
      <c r="B26" s="215" t="s">
        <v>650</v>
      </c>
      <c r="C26" s="216" t="n">
        <v>150000</v>
      </c>
      <c r="D26" s="216" t="n">
        <f aca="false">C26/12</f>
        <v>12500</v>
      </c>
      <c r="E26" s="217" t="n">
        <v>1</v>
      </c>
      <c r="F26" s="215" t="s">
        <v>624</v>
      </c>
      <c r="G26" s="217" t="s">
        <v>572</v>
      </c>
      <c r="H26" s="218" t="n">
        <v>0</v>
      </c>
      <c r="I26" s="218" t="n">
        <v>0</v>
      </c>
      <c r="J26" s="215" t="s">
        <v>639</v>
      </c>
      <c r="K26" s="217"/>
      <c r="L26" s="215" t="s">
        <v>626</v>
      </c>
      <c r="M26" s="215"/>
      <c r="N26" s="215"/>
      <c r="O26" s="215" t="s">
        <v>624</v>
      </c>
      <c r="P26" s="215" t="s">
        <v>651</v>
      </c>
      <c r="Q26" s="1" t="s">
        <v>572</v>
      </c>
    </row>
    <row r="27" customFormat="false" ht="13.5" hidden="false" customHeight="true" outlineLevel="0" collapsed="false">
      <c r="A27" s="110" t="s">
        <v>657</v>
      </c>
      <c r="B27" s="110" t="s">
        <v>650</v>
      </c>
      <c r="C27" s="213" t="n">
        <v>150000</v>
      </c>
      <c r="D27" s="213" t="n">
        <f aca="false">C27/12</f>
        <v>12500</v>
      </c>
      <c r="E27" s="182" t="n">
        <v>1</v>
      </c>
      <c r="F27" s="110" t="s">
        <v>624</v>
      </c>
      <c r="G27" s="182" t="s">
        <v>572</v>
      </c>
      <c r="H27" s="214" t="n">
        <v>0</v>
      </c>
      <c r="I27" s="214" t="n">
        <v>0</v>
      </c>
      <c r="J27" s="110" t="s">
        <v>639</v>
      </c>
      <c r="K27" s="182"/>
      <c r="L27" s="110" t="s">
        <v>626</v>
      </c>
      <c r="M27" s="110"/>
      <c r="N27" s="110"/>
      <c r="O27" s="110" t="s">
        <v>624</v>
      </c>
      <c r="P27" s="110" t="s">
        <v>651</v>
      </c>
      <c r="Q27" s="1" t="s">
        <v>572</v>
      </c>
    </row>
    <row r="28" customFormat="false" ht="13.5" hidden="false" customHeight="true" outlineLevel="0" collapsed="false">
      <c r="A28" s="215" t="s">
        <v>658</v>
      </c>
      <c r="B28" s="215" t="s">
        <v>650</v>
      </c>
      <c r="C28" s="216" t="n">
        <v>170000</v>
      </c>
      <c r="D28" s="216" t="n">
        <f aca="false">C28/12</f>
        <v>14166.6666666667</v>
      </c>
      <c r="E28" s="217" t="n">
        <v>2</v>
      </c>
      <c r="F28" s="215" t="s">
        <v>624</v>
      </c>
      <c r="G28" s="217" t="s">
        <v>572</v>
      </c>
      <c r="H28" s="218" t="n">
        <v>0</v>
      </c>
      <c r="I28" s="218" t="n">
        <v>0</v>
      </c>
      <c r="J28" s="215" t="s">
        <v>639</v>
      </c>
      <c r="K28" s="217"/>
      <c r="L28" s="215" t="s">
        <v>626</v>
      </c>
      <c r="M28" s="215"/>
      <c r="N28" s="215"/>
      <c r="O28" s="215" t="s">
        <v>624</v>
      </c>
      <c r="P28" s="215" t="s">
        <v>651</v>
      </c>
      <c r="Q28" s="1" t="s">
        <v>572</v>
      </c>
    </row>
    <row r="29" customFormat="false" ht="13.5" hidden="false" customHeight="true" outlineLevel="0" collapsed="false">
      <c r="A29" s="110" t="s">
        <v>659</v>
      </c>
      <c r="B29" s="110" t="s">
        <v>650</v>
      </c>
      <c r="C29" s="213" t="n">
        <v>170000</v>
      </c>
      <c r="D29" s="213" t="n">
        <f aca="false">C29/12</f>
        <v>14166.6666666667</v>
      </c>
      <c r="E29" s="182" t="n">
        <v>4</v>
      </c>
      <c r="F29" s="110" t="s">
        <v>624</v>
      </c>
      <c r="G29" s="182" t="s">
        <v>572</v>
      </c>
      <c r="H29" s="214" t="n">
        <v>0</v>
      </c>
      <c r="I29" s="214" t="n">
        <v>0</v>
      </c>
      <c r="J29" s="110" t="s">
        <v>639</v>
      </c>
      <c r="K29" s="182"/>
      <c r="L29" s="110" t="s">
        <v>626</v>
      </c>
      <c r="M29" s="110"/>
      <c r="N29" s="110"/>
      <c r="O29" s="110" t="s">
        <v>624</v>
      </c>
      <c r="P29" s="110" t="s">
        <v>651</v>
      </c>
      <c r="Q29" s="1" t="s">
        <v>572</v>
      </c>
    </row>
    <row r="30" customFormat="false" ht="13.5" hidden="false" customHeight="true" outlineLevel="0" collapsed="false">
      <c r="A30" s="215" t="s">
        <v>660</v>
      </c>
      <c r="B30" s="215" t="s">
        <v>650</v>
      </c>
      <c r="C30" s="216" t="n">
        <v>130000</v>
      </c>
      <c r="D30" s="216" t="n">
        <f aca="false">C30/12</f>
        <v>10833.3333333333</v>
      </c>
      <c r="E30" s="217" t="n">
        <v>5</v>
      </c>
      <c r="F30" s="215" t="s">
        <v>624</v>
      </c>
      <c r="G30" s="217" t="s">
        <v>572</v>
      </c>
      <c r="H30" s="218" t="n">
        <v>0</v>
      </c>
      <c r="I30" s="218" t="n">
        <v>0</v>
      </c>
      <c r="J30" s="215" t="s">
        <v>639</v>
      </c>
      <c r="K30" s="217"/>
      <c r="L30" s="215" t="s">
        <v>626</v>
      </c>
      <c r="M30" s="215"/>
      <c r="N30" s="215"/>
      <c r="O30" s="215" t="s">
        <v>624</v>
      </c>
      <c r="P30" s="215" t="s">
        <v>651</v>
      </c>
      <c r="Q30" s="1" t="s">
        <v>572</v>
      </c>
    </row>
    <row r="31" customFormat="false" ht="13.5" hidden="false" customHeight="true" outlineLevel="0" collapsed="false">
      <c r="A31" s="110" t="s">
        <v>661</v>
      </c>
      <c r="B31" s="110" t="s">
        <v>650</v>
      </c>
      <c r="C31" s="213" t="n">
        <v>160000</v>
      </c>
      <c r="D31" s="213" t="n">
        <f aca="false">C31/12</f>
        <v>13333.3333333333</v>
      </c>
      <c r="E31" s="182" t="n">
        <v>6</v>
      </c>
      <c r="F31" s="110" t="s">
        <v>624</v>
      </c>
      <c r="G31" s="182" t="s">
        <v>572</v>
      </c>
      <c r="H31" s="214" t="n">
        <v>0</v>
      </c>
      <c r="I31" s="214" t="n">
        <v>0</v>
      </c>
      <c r="J31" s="110" t="s">
        <v>639</v>
      </c>
      <c r="K31" s="182"/>
      <c r="L31" s="110" t="s">
        <v>626</v>
      </c>
      <c r="M31" s="110" t="s">
        <v>15</v>
      </c>
      <c r="N31" s="110" t="s">
        <v>662</v>
      </c>
      <c r="O31" s="110" t="s">
        <v>624</v>
      </c>
      <c r="P31" s="110" t="s">
        <v>651</v>
      </c>
      <c r="Q31" s="1" t="s">
        <v>571</v>
      </c>
    </row>
    <row r="32" customFormat="false" ht="13.5" hidden="false" customHeight="true" outlineLevel="0" collapsed="false">
      <c r="A32" s="215" t="s">
        <v>663</v>
      </c>
      <c r="B32" s="215" t="s">
        <v>664</v>
      </c>
      <c r="C32" s="216" t="n">
        <v>75000</v>
      </c>
      <c r="D32" s="216" t="n">
        <f aca="false">C32/12</f>
        <v>6250</v>
      </c>
      <c r="E32" s="217" t="n">
        <v>1</v>
      </c>
      <c r="F32" s="215" t="s">
        <v>624</v>
      </c>
      <c r="G32" s="217" t="s">
        <v>572</v>
      </c>
      <c r="H32" s="218" t="n">
        <v>0</v>
      </c>
      <c r="I32" s="218" t="n">
        <v>0</v>
      </c>
      <c r="J32" s="215" t="s">
        <v>639</v>
      </c>
      <c r="K32" s="217"/>
      <c r="L32" s="215" t="s">
        <v>626</v>
      </c>
      <c r="M32" s="215"/>
      <c r="N32" s="215"/>
      <c r="O32" s="215" t="s">
        <v>624</v>
      </c>
      <c r="P32" s="215" t="s">
        <v>646</v>
      </c>
      <c r="Q32" s="1" t="s">
        <v>572</v>
      </c>
    </row>
    <row r="33" customFormat="false" ht="13.5" hidden="false" customHeight="true" outlineLevel="0" collapsed="false">
      <c r="A33" s="110" t="s">
        <v>665</v>
      </c>
      <c r="B33" s="110" t="s">
        <v>645</v>
      </c>
      <c r="C33" s="213" t="n">
        <v>105000</v>
      </c>
      <c r="D33" s="213" t="n">
        <f aca="false">C33/12</f>
        <v>8750</v>
      </c>
      <c r="E33" s="182" t="n">
        <v>3</v>
      </c>
      <c r="F33" s="110" t="s">
        <v>624</v>
      </c>
      <c r="G33" s="182" t="s">
        <v>572</v>
      </c>
      <c r="H33" s="214" t="n">
        <v>0</v>
      </c>
      <c r="I33" s="214" t="n">
        <v>0</v>
      </c>
      <c r="J33" s="110" t="s">
        <v>639</v>
      </c>
      <c r="K33" s="182"/>
      <c r="L33" s="110" t="s">
        <v>626</v>
      </c>
      <c r="M33" s="110"/>
      <c r="N33" s="110"/>
      <c r="O33" s="110" t="s">
        <v>624</v>
      </c>
      <c r="P33" s="110" t="s">
        <v>646</v>
      </c>
      <c r="Q33" s="1" t="s">
        <v>572</v>
      </c>
    </row>
    <row r="34" customFormat="false" ht="13.5" hidden="false" customHeight="true" outlineLevel="0" collapsed="false">
      <c r="A34" s="215" t="s">
        <v>666</v>
      </c>
      <c r="B34" s="215" t="s">
        <v>667</v>
      </c>
      <c r="C34" s="216" t="n">
        <v>62400</v>
      </c>
      <c r="D34" s="216" t="n">
        <f aca="false">C34/12</f>
        <v>5200</v>
      </c>
      <c r="E34" s="217" t="n">
        <v>1</v>
      </c>
      <c r="F34" s="215" t="s">
        <v>624</v>
      </c>
      <c r="G34" s="217" t="s">
        <v>572</v>
      </c>
      <c r="H34" s="218" t="n">
        <v>0</v>
      </c>
      <c r="I34" s="218" t="n">
        <v>0</v>
      </c>
      <c r="J34" s="215" t="s">
        <v>639</v>
      </c>
      <c r="K34" s="217"/>
      <c r="L34" s="215" t="s">
        <v>626</v>
      </c>
      <c r="M34" s="215"/>
      <c r="N34" s="215"/>
      <c r="O34" s="215" t="s">
        <v>624</v>
      </c>
      <c r="P34" s="215" t="s">
        <v>668</v>
      </c>
      <c r="Q34" s="1" t="s">
        <v>572</v>
      </c>
    </row>
    <row r="35" customFormat="false" ht="13.5" hidden="false" customHeight="true" outlineLevel="0" collapsed="false">
      <c r="A35" s="110" t="s">
        <v>669</v>
      </c>
      <c r="B35" s="110" t="s">
        <v>670</v>
      </c>
      <c r="C35" s="213" t="n">
        <v>115000</v>
      </c>
      <c r="D35" s="213" t="n">
        <f aca="false">C35/12</f>
        <v>9583.33333333333</v>
      </c>
      <c r="E35" s="182" t="n">
        <v>1</v>
      </c>
      <c r="F35" s="110" t="s">
        <v>624</v>
      </c>
      <c r="G35" s="182" t="s">
        <v>572</v>
      </c>
      <c r="H35" s="214" t="n">
        <v>0</v>
      </c>
      <c r="I35" s="214" t="n">
        <v>0</v>
      </c>
      <c r="J35" s="110" t="s">
        <v>639</v>
      </c>
      <c r="K35" s="182"/>
      <c r="L35" s="110" t="s">
        <v>626</v>
      </c>
      <c r="M35" s="110"/>
      <c r="N35" s="110"/>
      <c r="O35" s="110" t="s">
        <v>624</v>
      </c>
      <c r="P35" s="110" t="s">
        <v>671</v>
      </c>
      <c r="Q35" s="1" t="s">
        <v>572</v>
      </c>
    </row>
    <row r="36" customFormat="false" ht="13.5" hidden="false" customHeight="true" outlineLevel="0" collapsed="false">
      <c r="A36" s="215" t="s">
        <v>672</v>
      </c>
      <c r="B36" s="215" t="s">
        <v>673</v>
      </c>
      <c r="C36" s="216" t="n">
        <v>69992</v>
      </c>
      <c r="D36" s="216" t="n">
        <f aca="false">C36/12</f>
        <v>5832.66666666667</v>
      </c>
      <c r="E36" s="217" t="n">
        <v>1</v>
      </c>
      <c r="F36" s="215" t="s">
        <v>624</v>
      </c>
      <c r="G36" s="217" t="s">
        <v>572</v>
      </c>
      <c r="H36" s="218" t="n">
        <v>0</v>
      </c>
      <c r="I36" s="218" t="n">
        <v>0</v>
      </c>
      <c r="J36" s="215" t="s">
        <v>639</v>
      </c>
      <c r="K36" s="217"/>
      <c r="L36" s="215" t="s">
        <v>626</v>
      </c>
      <c r="M36" s="215"/>
      <c r="N36" s="215"/>
      <c r="O36" s="215" t="s">
        <v>624</v>
      </c>
      <c r="P36" s="215" t="s">
        <v>674</v>
      </c>
      <c r="Q36" s="1" t="s">
        <v>572</v>
      </c>
    </row>
    <row r="37" customFormat="false" ht="13.5" hidden="false" customHeight="true" outlineLevel="0" collapsed="false">
      <c r="A37" s="110" t="s">
        <v>675</v>
      </c>
      <c r="B37" s="110" t="s">
        <v>673</v>
      </c>
      <c r="C37" s="213" t="n">
        <v>52000</v>
      </c>
      <c r="D37" s="213" t="n">
        <f aca="false">C37/12</f>
        <v>4333.33333333333</v>
      </c>
      <c r="E37" s="182" t="n">
        <v>1</v>
      </c>
      <c r="F37" s="110" t="s">
        <v>624</v>
      </c>
      <c r="G37" s="182" t="s">
        <v>572</v>
      </c>
      <c r="H37" s="214" t="n">
        <v>0</v>
      </c>
      <c r="I37" s="214" t="n">
        <v>0</v>
      </c>
      <c r="J37" s="110" t="s">
        <v>639</v>
      </c>
      <c r="K37" s="182"/>
      <c r="L37" s="110" t="s">
        <v>626</v>
      </c>
      <c r="M37" s="110"/>
      <c r="N37" s="110"/>
      <c r="O37" s="110" t="s">
        <v>624</v>
      </c>
      <c r="P37" s="110" t="s">
        <v>674</v>
      </c>
      <c r="Q37" s="1" t="s">
        <v>572</v>
      </c>
    </row>
    <row r="38" customFormat="false" ht="13.5" hidden="false" customHeight="true" outlineLevel="0" collapsed="false">
      <c r="A38" s="215" t="s">
        <v>676</v>
      </c>
      <c r="B38" s="215" t="s">
        <v>677</v>
      </c>
      <c r="C38" s="216" t="n">
        <v>43680</v>
      </c>
      <c r="D38" s="216" t="n">
        <f aca="false">C38/12</f>
        <v>3640</v>
      </c>
      <c r="E38" s="217" t="n">
        <v>1</v>
      </c>
      <c r="F38" s="215" t="s">
        <v>624</v>
      </c>
      <c r="G38" s="217" t="s">
        <v>572</v>
      </c>
      <c r="H38" s="218" t="n">
        <v>0</v>
      </c>
      <c r="I38" s="218" t="n">
        <v>0</v>
      </c>
      <c r="J38" s="215" t="s">
        <v>639</v>
      </c>
      <c r="K38" s="217"/>
      <c r="L38" s="215" t="s">
        <v>626</v>
      </c>
      <c r="M38" s="215"/>
      <c r="N38" s="215"/>
      <c r="O38" s="215" t="s">
        <v>624</v>
      </c>
      <c r="P38" s="215" t="s">
        <v>674</v>
      </c>
      <c r="Q38" s="1" t="s">
        <v>572</v>
      </c>
    </row>
    <row r="40" customFormat="false" ht="13.5" hidden="false" customHeight="true" outlineLevel="0" collapsed="false">
      <c r="A40" s="211" t="s">
        <v>678</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679</v>
      </c>
      <c r="B41" s="110" t="s">
        <v>653</v>
      </c>
      <c r="C41" s="213" t="n">
        <v>90000</v>
      </c>
      <c r="D41" s="213" t="n">
        <f aca="false">C41/12</f>
        <v>7500</v>
      </c>
      <c r="E41" s="182" t="n">
        <v>10</v>
      </c>
      <c r="F41" s="110" t="s">
        <v>624</v>
      </c>
      <c r="G41" s="182" t="s">
        <v>572</v>
      </c>
      <c r="H41" s="214" t="n">
        <v>0</v>
      </c>
      <c r="I41" s="214" t="n">
        <v>0</v>
      </c>
      <c r="J41" s="110" t="s">
        <v>639</v>
      </c>
      <c r="K41" s="182"/>
      <c r="L41" s="110" t="s">
        <v>680</v>
      </c>
      <c r="M41" s="110" t="s">
        <v>681</v>
      </c>
      <c r="N41" s="110" t="s">
        <v>682</v>
      </c>
      <c r="O41" s="110" t="s">
        <v>624</v>
      </c>
      <c r="P41" s="110" t="s">
        <v>654</v>
      </c>
      <c r="Q41" s="1" t="s">
        <v>572</v>
      </c>
    </row>
    <row r="43" customFormat="false" ht="13.5" hidden="false" customHeight="true" outlineLevel="0" collapsed="false">
      <c r="A43" s="211" t="s">
        <v>683</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684</v>
      </c>
      <c r="B44" s="110" t="s">
        <v>685</v>
      </c>
      <c r="C44" s="213" t="n">
        <v>400000</v>
      </c>
      <c r="D44" s="213" t="n">
        <f aca="false">C44/12</f>
        <v>33333.3333333333</v>
      </c>
      <c r="E44" s="182" t="n">
        <v>1</v>
      </c>
      <c r="F44" s="110" t="s">
        <v>686</v>
      </c>
      <c r="G44" s="182" t="s">
        <v>572</v>
      </c>
      <c r="H44" s="214" t="n">
        <v>1</v>
      </c>
      <c r="I44" s="214" t="n">
        <v>0</v>
      </c>
      <c r="J44" s="110" t="s">
        <v>687</v>
      </c>
      <c r="K44" s="182"/>
      <c r="L44" s="110" t="s">
        <v>626</v>
      </c>
      <c r="M44" s="110"/>
      <c r="N44" s="110"/>
      <c r="O44" s="110" t="s">
        <v>688</v>
      </c>
      <c r="P44" s="110" t="s">
        <v>687</v>
      </c>
      <c r="Q44" s="1" t="s">
        <v>572</v>
      </c>
    </row>
    <row r="45" customFormat="false" ht="13.5" hidden="false" customHeight="true" outlineLevel="0" collapsed="false">
      <c r="A45" s="215" t="s">
        <v>689</v>
      </c>
      <c r="B45" s="215" t="s">
        <v>685</v>
      </c>
      <c r="C45" s="216" t="n">
        <v>400000</v>
      </c>
      <c r="D45" s="216" t="n">
        <f aca="false">C45/12</f>
        <v>33333.3333333333</v>
      </c>
      <c r="E45" s="217" t="n">
        <v>1</v>
      </c>
      <c r="F45" s="215" t="s">
        <v>686</v>
      </c>
      <c r="G45" s="217" t="s">
        <v>572</v>
      </c>
      <c r="H45" s="218" t="n">
        <v>1</v>
      </c>
      <c r="I45" s="218" t="n">
        <v>0</v>
      </c>
      <c r="J45" s="215" t="s">
        <v>687</v>
      </c>
      <c r="K45" s="217"/>
      <c r="L45" s="215" t="s">
        <v>626</v>
      </c>
      <c r="M45" s="215"/>
      <c r="N45" s="215"/>
      <c r="O45" s="215" t="s">
        <v>688</v>
      </c>
      <c r="P45" s="215" t="s">
        <v>687</v>
      </c>
      <c r="Q45" s="1" t="s">
        <v>572</v>
      </c>
    </row>
    <row r="46" customFormat="false" ht="13.5" hidden="false" customHeight="true" outlineLevel="0" collapsed="false">
      <c r="A46" s="110" t="s">
        <v>690</v>
      </c>
      <c r="B46" s="110" t="s">
        <v>691</v>
      </c>
      <c r="C46" s="213" t="n">
        <v>222000</v>
      </c>
      <c r="D46" s="213" t="n">
        <f aca="false">C46/12</f>
        <v>18500</v>
      </c>
      <c r="E46" s="182" t="n">
        <v>1</v>
      </c>
      <c r="F46" s="110" t="s">
        <v>686</v>
      </c>
      <c r="G46" s="182" t="s">
        <v>572</v>
      </c>
      <c r="H46" s="214" t="n">
        <v>1</v>
      </c>
      <c r="I46" s="214" t="n">
        <v>0</v>
      </c>
      <c r="J46" s="110" t="s">
        <v>687</v>
      </c>
      <c r="K46" s="182"/>
      <c r="L46" s="110" t="s">
        <v>626</v>
      </c>
      <c r="M46" s="110"/>
      <c r="N46" s="110"/>
      <c r="O46" s="110" t="s">
        <v>692</v>
      </c>
      <c r="P46" s="110" t="s">
        <v>687</v>
      </c>
      <c r="Q46" s="1" t="s">
        <v>572</v>
      </c>
    </row>
    <row r="47" customFormat="false" ht="13.5" hidden="false" customHeight="true" outlineLevel="0" collapsed="false">
      <c r="A47" s="215" t="s">
        <v>693</v>
      </c>
      <c r="B47" s="215" t="s">
        <v>694</v>
      </c>
      <c r="C47" s="216" t="n">
        <v>115000</v>
      </c>
      <c r="D47" s="216" t="n">
        <f aca="false">C47/12</f>
        <v>9583.33333333333</v>
      </c>
      <c r="E47" s="217" t="n">
        <v>1</v>
      </c>
      <c r="F47" s="215" t="s">
        <v>686</v>
      </c>
      <c r="G47" s="217" t="s">
        <v>572</v>
      </c>
      <c r="H47" s="218" t="n">
        <v>1</v>
      </c>
      <c r="I47" s="218" t="n">
        <v>0</v>
      </c>
      <c r="J47" s="215" t="s">
        <v>687</v>
      </c>
      <c r="K47" s="217"/>
      <c r="L47" s="215" t="s">
        <v>626</v>
      </c>
      <c r="M47" s="215"/>
      <c r="N47" s="215"/>
      <c r="O47" s="215" t="s">
        <v>692</v>
      </c>
      <c r="P47" s="215" t="s">
        <v>687</v>
      </c>
      <c r="Q47" s="1" t="s">
        <v>572</v>
      </c>
    </row>
    <row r="48" customFormat="false" ht="13.5" hidden="false" customHeight="true" outlineLevel="0" collapsed="false">
      <c r="A48" s="110" t="s">
        <v>695</v>
      </c>
      <c r="B48" s="110" t="s">
        <v>696</v>
      </c>
      <c r="C48" s="213" t="n">
        <v>250000</v>
      </c>
      <c r="D48" s="213" t="n">
        <f aca="false">C48/12</f>
        <v>20833.3333333333</v>
      </c>
      <c r="E48" s="182" t="n">
        <v>1</v>
      </c>
      <c r="F48" s="110" t="s">
        <v>686</v>
      </c>
      <c r="G48" s="182" t="s">
        <v>572</v>
      </c>
      <c r="H48" s="214" t="n">
        <v>0</v>
      </c>
      <c r="I48" s="214" t="n">
        <v>0</v>
      </c>
      <c r="J48" s="110" t="s">
        <v>687</v>
      </c>
      <c r="K48" s="182"/>
      <c r="L48" s="110" t="s">
        <v>626</v>
      </c>
      <c r="M48" s="110"/>
      <c r="N48" s="110"/>
      <c r="O48" s="110" t="s">
        <v>697</v>
      </c>
      <c r="P48" s="110" t="s">
        <v>687</v>
      </c>
      <c r="Q48" s="1" t="s">
        <v>572</v>
      </c>
    </row>
    <row r="49" customFormat="false" ht="13.5" hidden="false" customHeight="true" outlineLevel="0" collapsed="false">
      <c r="A49" s="215" t="s">
        <v>698</v>
      </c>
      <c r="B49" s="215" t="s">
        <v>699</v>
      </c>
      <c r="C49" s="216" t="n">
        <v>150000</v>
      </c>
      <c r="D49" s="216" t="n">
        <f aca="false">C49/12</f>
        <v>12500</v>
      </c>
      <c r="E49" s="217" t="n">
        <v>1</v>
      </c>
      <c r="F49" s="215" t="s">
        <v>686</v>
      </c>
      <c r="G49" s="217" t="s">
        <v>572</v>
      </c>
      <c r="H49" s="218" t="n">
        <v>0</v>
      </c>
      <c r="I49" s="218" t="n">
        <v>0</v>
      </c>
      <c r="J49" s="215" t="s">
        <v>687</v>
      </c>
      <c r="K49" s="217"/>
      <c r="L49" s="215" t="s">
        <v>626</v>
      </c>
      <c r="M49" s="215"/>
      <c r="N49" s="215"/>
      <c r="O49" s="215" t="s">
        <v>697</v>
      </c>
      <c r="P49" s="215" t="s">
        <v>687</v>
      </c>
      <c r="Q49" s="1" t="s">
        <v>572</v>
      </c>
    </row>
    <row r="50" customFormat="false" ht="13.5" hidden="false" customHeight="true" outlineLevel="0" collapsed="false">
      <c r="A50" s="110" t="s">
        <v>700</v>
      </c>
      <c r="B50" s="110" t="s">
        <v>701</v>
      </c>
      <c r="C50" s="213" t="n">
        <v>250000</v>
      </c>
      <c r="D50" s="213" t="n">
        <f aca="false">C50/12</f>
        <v>20833.3333333333</v>
      </c>
      <c r="E50" s="182" t="n">
        <v>1</v>
      </c>
      <c r="F50" s="110" t="s">
        <v>686</v>
      </c>
      <c r="G50" s="182" t="s">
        <v>572</v>
      </c>
      <c r="H50" s="214" t="n">
        <v>0</v>
      </c>
      <c r="I50" s="214" t="n">
        <v>0</v>
      </c>
      <c r="J50" s="110" t="s">
        <v>687</v>
      </c>
      <c r="K50" s="182"/>
      <c r="L50" s="110" t="s">
        <v>626</v>
      </c>
      <c r="M50" s="110"/>
      <c r="N50" s="110"/>
      <c r="O50" s="110" t="s">
        <v>697</v>
      </c>
      <c r="P50" s="110" t="s">
        <v>687</v>
      </c>
      <c r="Q50" s="1" t="s">
        <v>572</v>
      </c>
    </row>
    <row r="52" customFormat="false" ht="13.5" hidden="false" customHeight="true" outlineLevel="0" collapsed="false">
      <c r="A52" s="211" t="s">
        <v>702</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703</v>
      </c>
      <c r="B53" s="110" t="s">
        <v>704</v>
      </c>
      <c r="C53" s="213" t="n">
        <v>125000</v>
      </c>
      <c r="D53" s="213" t="n">
        <f aca="false">C53/12</f>
        <v>10416.6666666667</v>
      </c>
      <c r="E53" s="182" t="n">
        <v>2</v>
      </c>
      <c r="F53" s="110" t="s">
        <v>624</v>
      </c>
      <c r="G53" s="182" t="s">
        <v>572</v>
      </c>
      <c r="H53" s="214" t="n">
        <v>0</v>
      </c>
      <c r="I53" s="214" t="n">
        <v>0</v>
      </c>
      <c r="J53" s="110" t="s">
        <v>639</v>
      </c>
      <c r="K53" s="182" t="n">
        <v>4</v>
      </c>
      <c r="L53" s="110" t="s">
        <v>705</v>
      </c>
      <c r="M53" s="110"/>
      <c r="N53" s="110" t="s">
        <v>706</v>
      </c>
      <c r="O53" s="110" t="s">
        <v>624</v>
      </c>
      <c r="P53" s="110" t="s">
        <v>671</v>
      </c>
      <c r="Q53" s="1" t="s">
        <v>572</v>
      </c>
    </row>
    <row r="54" customFormat="false" ht="13.5" hidden="false" customHeight="true" outlineLevel="0" collapsed="false">
      <c r="A54" s="215" t="s">
        <v>707</v>
      </c>
      <c r="B54" s="215" t="s">
        <v>708</v>
      </c>
      <c r="C54" s="216" t="n">
        <v>110000</v>
      </c>
      <c r="D54" s="216" t="n">
        <f aca="false">C54/12</f>
        <v>9166.66666666667</v>
      </c>
      <c r="E54" s="217" t="n">
        <v>1</v>
      </c>
      <c r="F54" s="215" t="s">
        <v>624</v>
      </c>
      <c r="G54" s="217" t="s">
        <v>572</v>
      </c>
      <c r="H54" s="218" t="n">
        <v>0</v>
      </c>
      <c r="I54" s="218" t="n">
        <v>0</v>
      </c>
      <c r="J54" s="215" t="s">
        <v>639</v>
      </c>
      <c r="K54" s="217" t="n">
        <v>4</v>
      </c>
      <c r="L54" s="215" t="s">
        <v>705</v>
      </c>
      <c r="M54" s="215"/>
      <c r="N54" s="215" t="s">
        <v>706</v>
      </c>
      <c r="O54" s="215" t="s">
        <v>624</v>
      </c>
      <c r="P54" s="215" t="s">
        <v>651</v>
      </c>
      <c r="Q54" s="1" t="s">
        <v>572</v>
      </c>
    </row>
    <row r="56" customFormat="false" ht="13.5" hidden="false" customHeight="true" outlineLevel="0" collapsed="false">
      <c r="A56" s="211" t="s">
        <v>709</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710</v>
      </c>
      <c r="B57" s="215" t="s">
        <v>645</v>
      </c>
      <c r="C57" s="216" t="n">
        <v>120000</v>
      </c>
      <c r="D57" s="216" t="n">
        <f aca="false">C57/12</f>
        <v>10000</v>
      </c>
      <c r="E57" s="217" t="n">
        <v>5</v>
      </c>
      <c r="F57" s="215" t="s">
        <v>624</v>
      </c>
      <c r="G57" s="217" t="s">
        <v>572</v>
      </c>
      <c r="H57" s="218" t="n">
        <v>0</v>
      </c>
      <c r="I57" s="218" t="n">
        <v>0</v>
      </c>
      <c r="J57" s="215" t="s">
        <v>639</v>
      </c>
      <c r="K57" s="217"/>
      <c r="L57" s="215" t="s">
        <v>626</v>
      </c>
      <c r="M57" s="215"/>
      <c r="N57" s="215" t="s">
        <v>711</v>
      </c>
      <c r="O57" s="215" t="s">
        <v>624</v>
      </c>
      <c r="P57" s="215" t="s">
        <v>646</v>
      </c>
      <c r="Q57" s="1" t="s">
        <v>571</v>
      </c>
    </row>
    <row r="58" customFormat="false" ht="13.5" hidden="false" customHeight="true" outlineLevel="0" collapsed="false">
      <c r="A58" s="215" t="s">
        <v>712</v>
      </c>
      <c r="B58" s="215" t="s">
        <v>670</v>
      </c>
      <c r="C58" s="216" t="n">
        <v>125000</v>
      </c>
      <c r="D58" s="216" t="n">
        <f aca="false">C58/12</f>
        <v>10416.6666666667</v>
      </c>
      <c r="E58" s="217" t="n">
        <v>6</v>
      </c>
      <c r="F58" s="215" t="s">
        <v>624</v>
      </c>
      <c r="G58" s="217" t="s">
        <v>572</v>
      </c>
      <c r="H58" s="218" t="n">
        <v>0</v>
      </c>
      <c r="I58" s="218" t="n">
        <v>0</v>
      </c>
      <c r="J58" s="215" t="s">
        <v>639</v>
      </c>
      <c r="K58" s="217"/>
      <c r="L58" s="215" t="s">
        <v>626</v>
      </c>
      <c r="M58" s="215"/>
      <c r="N58" s="215" t="s">
        <v>711</v>
      </c>
      <c r="O58" s="215" t="s">
        <v>624</v>
      </c>
      <c r="P58" s="215" t="s">
        <v>671</v>
      </c>
      <c r="Q58" s="1" t="s">
        <v>571</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713</v>
      </c>
    </row>
    <row r="2" customFormat="false" ht="15" hidden="false" customHeight="true" outlineLevel="0" collapsed="false">
      <c r="A2" s="90" t="s">
        <v>556</v>
      </c>
      <c r="B2" s="97" t="s">
        <v>571</v>
      </c>
    </row>
    <row r="4" customFormat="false" ht="15" hidden="false" customHeight="true" outlineLevel="0" collapsed="false">
      <c r="A4" s="189" t="s">
        <v>714</v>
      </c>
      <c r="B4" s="189"/>
      <c r="C4" s="189"/>
      <c r="D4" s="189"/>
      <c r="E4" s="189"/>
      <c r="F4" s="189"/>
      <c r="G4" s="189"/>
      <c r="H4" s="189"/>
      <c r="I4" s="189"/>
      <c r="J4" s="189"/>
      <c r="K4" s="189"/>
    </row>
    <row r="5" customFormat="false" ht="15" hidden="false" customHeight="true" outlineLevel="0" collapsed="false">
      <c r="A5" s="90" t="s">
        <v>715</v>
      </c>
      <c r="B5" s="90" t="s">
        <v>713</v>
      </c>
    </row>
    <row r="6" customFormat="false" ht="15" hidden="false" customHeight="true" outlineLevel="0" collapsed="false">
      <c r="A6" s="90" t="s">
        <v>716</v>
      </c>
      <c r="B6" s="90" t="s">
        <v>717</v>
      </c>
    </row>
    <row r="7" customFormat="false" ht="15" hidden="false" customHeight="true" outlineLevel="0" collapsed="false">
      <c r="A7" s="90" t="s">
        <v>718</v>
      </c>
      <c r="B7" s="219" t="n">
        <v>60</v>
      </c>
    </row>
    <row r="8" customFormat="false" ht="15" hidden="false" customHeight="true" outlineLevel="0" collapsed="false">
      <c r="A8" s="90" t="s">
        <v>719</v>
      </c>
      <c r="B8" s="90" t="s">
        <v>720</v>
      </c>
    </row>
    <row r="9" customFormat="false" ht="15" hidden="false" customHeight="true" outlineLevel="0" collapsed="false">
      <c r="A9" s="90" t="s">
        <v>721</v>
      </c>
      <c r="B9" s="220" t="n">
        <v>1400000</v>
      </c>
    </row>
    <row r="10" customFormat="false" ht="15" hidden="false" customHeight="true" outlineLevel="0" collapsed="false">
      <c r="A10" s="90" t="s">
        <v>722</v>
      </c>
      <c r="B10" s="220" t="n">
        <v>1609391</v>
      </c>
    </row>
    <row r="11" customFormat="false" ht="15" hidden="false" customHeight="true" outlineLevel="0" collapsed="false">
      <c r="A11" s="90" t="s">
        <v>723</v>
      </c>
      <c r="B11" s="220" t="n">
        <v>3419763</v>
      </c>
    </row>
    <row r="12" customFormat="false" ht="15" hidden="false" customHeight="true" outlineLevel="0" collapsed="false">
      <c r="A12" s="90" t="s">
        <v>565</v>
      </c>
      <c r="B12" s="221" t="n">
        <f aca="false">B16</f>
        <v>9009665</v>
      </c>
    </row>
    <row r="14" customFormat="false" ht="15" hidden="false" customHeight="true" outlineLevel="0" collapsed="false">
      <c r="A14" s="222" t="s">
        <v>724</v>
      </c>
      <c r="B14" s="222"/>
      <c r="C14" s="222"/>
      <c r="D14" s="222"/>
      <c r="E14" s="222"/>
      <c r="F14" s="222"/>
      <c r="G14" s="222"/>
      <c r="H14" s="222"/>
      <c r="I14" s="222"/>
      <c r="J14" s="222"/>
      <c r="K14" s="222"/>
    </row>
    <row r="15" customFormat="false" ht="15" hidden="false" customHeight="true" outlineLevel="0" collapsed="false">
      <c r="B15" s="223" t="s">
        <v>476</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565</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725</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726</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727</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728</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729</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730</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731</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732</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733</v>
      </c>
      <c r="B26" s="228"/>
      <c r="C26" s="228"/>
      <c r="D26" s="228"/>
      <c r="E26" s="228"/>
      <c r="F26" s="228"/>
      <c r="G26" s="228"/>
      <c r="H26" s="228"/>
      <c r="I26" s="228"/>
      <c r="J26" s="228"/>
      <c r="K26" s="228"/>
    </row>
    <row r="27" customFormat="false" ht="15" hidden="false" customHeight="true" outlineLevel="0" collapsed="false">
      <c r="A27" s="229" t="s">
        <v>734</v>
      </c>
      <c r="B27" s="229" t="s">
        <v>735</v>
      </c>
      <c r="C27" s="229" t="s">
        <v>736</v>
      </c>
      <c r="D27" s="229" t="s">
        <v>721</v>
      </c>
      <c r="E27" s="229" t="s">
        <v>615</v>
      </c>
    </row>
    <row r="28" customFormat="false" ht="15" hidden="false" customHeight="true" outlineLevel="0" collapsed="false">
      <c r="A28" s="90" t="s">
        <v>737</v>
      </c>
      <c r="B28" s="219" t="n">
        <v>6</v>
      </c>
      <c r="C28" s="90" t="s">
        <v>738</v>
      </c>
      <c r="D28" s="220" t="n">
        <v>1400000</v>
      </c>
      <c r="E28" s="230" t="s">
        <v>739</v>
      </c>
    </row>
    <row r="29" customFormat="false" ht="15" hidden="false" customHeight="true" outlineLevel="0" collapsed="false">
      <c r="A29" s="90" t="s">
        <v>740</v>
      </c>
      <c r="B29" s="219" t="n">
        <v>18</v>
      </c>
      <c r="C29" s="90" t="s">
        <v>741</v>
      </c>
      <c r="D29" s="220" t="n">
        <v>1400000</v>
      </c>
      <c r="E29" s="230" t="s">
        <v>742</v>
      </c>
    </row>
    <row r="30" customFormat="false" ht="15" hidden="false" customHeight="true" outlineLevel="0" collapsed="false">
      <c r="A30" s="90" t="s">
        <v>743</v>
      </c>
      <c r="B30" s="219" t="n">
        <v>18</v>
      </c>
      <c r="C30" s="90" t="s">
        <v>744</v>
      </c>
      <c r="D30" s="220" t="n">
        <v>1400000</v>
      </c>
      <c r="E30" s="230" t="s">
        <v>745</v>
      </c>
    </row>
    <row r="31" customFormat="false" ht="15" hidden="false" customHeight="true" outlineLevel="0" collapsed="false">
      <c r="A31" s="90" t="s">
        <v>746</v>
      </c>
      <c r="B31" s="219" t="n">
        <v>18</v>
      </c>
      <c r="C31" s="90" t="s">
        <v>747</v>
      </c>
      <c r="D31" s="220" t="n">
        <v>1400000</v>
      </c>
      <c r="E31" s="230" t="s">
        <v>748</v>
      </c>
    </row>
    <row r="32" customFormat="false" ht="15" hidden="false" customHeight="true" outlineLevel="0" collapsed="false">
      <c r="A32" s="229" t="s">
        <v>476</v>
      </c>
      <c r="B32" s="231" t="n">
        <v>60</v>
      </c>
      <c r="C32" s="229" t="s">
        <v>749</v>
      </c>
      <c r="D32" s="232" t="n">
        <v>1400000</v>
      </c>
    </row>
    <row r="34" customFormat="false" ht="15" hidden="false" customHeight="true" outlineLevel="0" collapsed="false">
      <c r="A34" s="233" t="s">
        <v>750</v>
      </c>
      <c r="B34" s="233"/>
      <c r="C34" s="233"/>
      <c r="D34" s="233"/>
      <c r="E34" s="233"/>
      <c r="F34" s="233"/>
      <c r="G34" s="233"/>
      <c r="H34" s="233"/>
      <c r="I34" s="233"/>
      <c r="J34" s="233"/>
      <c r="K34" s="233"/>
    </row>
    <row r="35" customFormat="false" ht="15" hidden="false" customHeight="true" outlineLevel="0" collapsed="false">
      <c r="A35" s="234" t="s">
        <v>751</v>
      </c>
      <c r="B35" s="234" t="s">
        <v>752</v>
      </c>
      <c r="C35" s="234" t="s">
        <v>753</v>
      </c>
      <c r="D35" s="234" t="s">
        <v>754</v>
      </c>
      <c r="E35" s="234" t="s">
        <v>755</v>
      </c>
      <c r="F35" s="234" t="s">
        <v>756</v>
      </c>
    </row>
    <row r="36" customFormat="false" ht="15" hidden="false" customHeight="true" outlineLevel="0" collapsed="false">
      <c r="A36" s="90" t="s">
        <v>757</v>
      </c>
      <c r="B36" s="90" t="s">
        <v>758</v>
      </c>
      <c r="C36" s="90" t="s">
        <v>759</v>
      </c>
      <c r="D36" s="220" t="n">
        <v>14000</v>
      </c>
      <c r="E36" s="220" t="n">
        <v>840000</v>
      </c>
      <c r="F36" s="90" t="s">
        <v>760</v>
      </c>
    </row>
    <row r="37" customFormat="false" ht="15" hidden="false" customHeight="true" outlineLevel="0" collapsed="false">
      <c r="A37" s="90" t="s">
        <v>761</v>
      </c>
      <c r="B37" s="90" t="s">
        <v>762</v>
      </c>
      <c r="C37" s="90" t="s">
        <v>763</v>
      </c>
      <c r="D37" s="220" t="n">
        <v>96563</v>
      </c>
      <c r="E37" s="220" t="n">
        <v>5793808</v>
      </c>
      <c r="F37" s="90" t="s">
        <v>764</v>
      </c>
    </row>
    <row r="38" customFormat="false" ht="15" hidden="false" customHeight="true" outlineLevel="0" collapsed="false">
      <c r="A38" s="90" t="s">
        <v>765</v>
      </c>
      <c r="B38" s="90" t="s">
        <v>766</v>
      </c>
      <c r="C38" s="90" t="s">
        <v>767</v>
      </c>
      <c r="D38" s="220" t="n">
        <v>5400</v>
      </c>
      <c r="E38" s="220" t="n">
        <v>324000</v>
      </c>
      <c r="F38" s="90" t="s">
        <v>768</v>
      </c>
    </row>
    <row r="39" customFormat="false" ht="15" hidden="false" customHeight="true" outlineLevel="0" collapsed="false">
      <c r="A39" s="90" t="s">
        <v>769</v>
      </c>
      <c r="B39" s="90" t="s">
        <v>758</v>
      </c>
      <c r="C39" s="90" t="s">
        <v>770</v>
      </c>
      <c r="D39" s="220" t="n">
        <v>34198</v>
      </c>
      <c r="E39" s="220" t="n">
        <v>2051858</v>
      </c>
      <c r="F39" s="90" t="s">
        <v>771</v>
      </c>
    </row>
    <row r="40" customFormat="false" ht="15" hidden="false" customHeight="true" outlineLevel="0" collapsed="false">
      <c r="A40" s="234" t="s">
        <v>565</v>
      </c>
      <c r="D40" s="235" t="n">
        <v>150161</v>
      </c>
      <c r="E40" s="235" t="n">
        <v>9009665</v>
      </c>
    </row>
    <row r="42" customFormat="false" ht="15" hidden="false" customHeight="true" outlineLevel="0" collapsed="false">
      <c r="A42" s="236" t="s">
        <v>772</v>
      </c>
      <c r="B42" s="236"/>
      <c r="C42" s="236"/>
      <c r="D42" s="236"/>
      <c r="E42" s="236"/>
      <c r="F42" s="236"/>
      <c r="G42" s="236"/>
      <c r="H42" s="236"/>
      <c r="I42" s="236"/>
      <c r="J42" s="236"/>
      <c r="K42" s="236"/>
    </row>
    <row r="43" customFormat="false" ht="15" hidden="false" customHeight="true" outlineLevel="0" collapsed="false">
      <c r="A43" s="237" t="s">
        <v>609</v>
      </c>
      <c r="B43" s="237" t="s">
        <v>773</v>
      </c>
      <c r="C43" s="237" t="s">
        <v>774</v>
      </c>
      <c r="D43" s="237" t="s">
        <v>581</v>
      </c>
      <c r="E43" s="237" t="s">
        <v>775</v>
      </c>
      <c r="F43" s="237" t="s">
        <v>776</v>
      </c>
      <c r="G43" s="237" t="s">
        <v>777</v>
      </c>
    </row>
    <row r="44" customFormat="false" ht="15" hidden="false" customHeight="true" outlineLevel="0" collapsed="false">
      <c r="A44" s="90" t="s">
        <v>778</v>
      </c>
      <c r="B44" s="220" t="n">
        <v>125000</v>
      </c>
      <c r="C44" s="220" t="n">
        <v>10417</v>
      </c>
      <c r="D44" s="90" t="s">
        <v>779</v>
      </c>
      <c r="E44" s="90" t="s">
        <v>780</v>
      </c>
      <c r="F44" s="90" t="n">
        <v>47</v>
      </c>
      <c r="G44" s="220" t="n">
        <f aca="false">C44*F44</f>
        <v>489599</v>
      </c>
    </row>
    <row r="45" customFormat="false" ht="15" hidden="false" customHeight="true" outlineLevel="0" collapsed="false">
      <c r="A45" s="90" t="s">
        <v>653</v>
      </c>
      <c r="B45" s="220" t="n">
        <v>90000</v>
      </c>
      <c r="C45" s="220" t="n">
        <v>7500</v>
      </c>
      <c r="D45" s="90" t="s">
        <v>781</v>
      </c>
      <c r="E45" s="90" t="s">
        <v>780</v>
      </c>
      <c r="F45" s="90" t="n">
        <v>44</v>
      </c>
      <c r="G45" s="220" t="n">
        <f aca="false">C45*F45</f>
        <v>330000</v>
      </c>
    </row>
    <row r="46" customFormat="false" ht="15" hidden="false" customHeight="true" outlineLevel="0" collapsed="false">
      <c r="A46" s="90" t="s">
        <v>782</v>
      </c>
      <c r="B46" s="220" t="n">
        <v>110000</v>
      </c>
      <c r="C46" s="220" t="n">
        <v>9167</v>
      </c>
      <c r="D46" s="90" t="s">
        <v>783</v>
      </c>
      <c r="E46" s="90" t="s">
        <v>780</v>
      </c>
      <c r="F46" s="90" t="n">
        <v>39</v>
      </c>
      <c r="G46" s="220" t="n">
        <f aca="false">C46*F46</f>
        <v>357513</v>
      </c>
    </row>
    <row r="47" customFormat="false" ht="15" hidden="false" customHeight="true" outlineLevel="0" collapsed="false">
      <c r="A47" s="90" t="s">
        <v>784</v>
      </c>
      <c r="B47" s="220" t="n">
        <v>125000</v>
      </c>
      <c r="C47" s="220" t="n">
        <v>10417</v>
      </c>
      <c r="D47" s="90" t="s">
        <v>785</v>
      </c>
      <c r="E47" s="90" t="s">
        <v>780</v>
      </c>
      <c r="F47" s="90" t="n">
        <v>31</v>
      </c>
      <c r="G47" s="220" t="n">
        <f aca="false">C47*F47</f>
        <v>322927</v>
      </c>
    </row>
    <row r="48" customFormat="false" ht="15" hidden="false" customHeight="true" outlineLevel="0" collapsed="false">
      <c r="A48" s="237" t="s">
        <v>786</v>
      </c>
      <c r="G48" s="238" t="n">
        <f aca="false">SUM(G44:G47)</f>
        <v>1500039</v>
      </c>
    </row>
    <row r="50" customFormat="false" ht="15" hidden="false" customHeight="true" outlineLevel="0" collapsed="false">
      <c r="A50" s="239" t="s">
        <v>787</v>
      </c>
      <c r="B50" s="239"/>
      <c r="C50" s="239"/>
      <c r="D50" s="239"/>
      <c r="E50" s="239"/>
      <c r="F50" s="239"/>
      <c r="G50" s="239"/>
      <c r="H50" s="239"/>
      <c r="I50" s="239"/>
      <c r="J50" s="239"/>
      <c r="K50" s="239"/>
    </row>
    <row r="51" customFormat="false" ht="15" hidden="false" customHeight="true" outlineLevel="0" collapsed="false">
      <c r="A51" s="240" t="s">
        <v>788</v>
      </c>
      <c r="B51" s="240" t="s">
        <v>789</v>
      </c>
      <c r="C51" s="240" t="s">
        <v>774</v>
      </c>
      <c r="D51" s="240" t="s">
        <v>790</v>
      </c>
      <c r="E51" s="240" t="s">
        <v>476</v>
      </c>
    </row>
    <row r="52" customFormat="false" ht="15" hidden="false" customHeight="true" outlineLevel="0" collapsed="false">
      <c r="A52" s="90" t="s">
        <v>791</v>
      </c>
      <c r="B52" s="220" t="n">
        <v>40000</v>
      </c>
      <c r="C52" s="220" t="n">
        <v>3333</v>
      </c>
      <c r="D52" s="90" t="n">
        <v>4</v>
      </c>
      <c r="E52" s="220" t="n">
        <v>160000</v>
      </c>
    </row>
    <row r="53" customFormat="false" ht="15" hidden="false" customHeight="true" outlineLevel="0" collapsed="false">
      <c r="A53" s="90" t="s">
        <v>792</v>
      </c>
      <c r="B53" s="220" t="n">
        <v>20000</v>
      </c>
      <c r="C53" s="220" t="n">
        <v>1667</v>
      </c>
      <c r="D53" s="90" t="n">
        <v>4</v>
      </c>
      <c r="E53" s="220" t="n">
        <v>80000</v>
      </c>
    </row>
    <row r="54" customFormat="false" ht="15" hidden="false" customHeight="true" outlineLevel="0" collapsed="false">
      <c r="A54" s="90" t="s">
        <v>793</v>
      </c>
      <c r="B54" s="220" t="n">
        <v>30000</v>
      </c>
      <c r="C54" s="220" t="n">
        <v>2500</v>
      </c>
      <c r="D54" s="90" t="n">
        <v>4</v>
      </c>
      <c r="E54" s="220" t="n">
        <v>120000</v>
      </c>
    </row>
    <row r="55" customFormat="false" ht="15" hidden="false" customHeight="true" outlineLevel="0" collapsed="false">
      <c r="A55" s="90" t="s">
        <v>794</v>
      </c>
      <c r="B55" s="220" t="n">
        <v>24000</v>
      </c>
      <c r="C55" s="220" t="n">
        <v>2000</v>
      </c>
      <c r="D55" s="90" t="n">
        <v>4</v>
      </c>
      <c r="E55" s="220" t="n">
        <v>96000</v>
      </c>
    </row>
    <row r="56" customFormat="false" ht="15" hidden="false" customHeight="true" outlineLevel="0" collapsed="false">
      <c r="A56" s="240" t="s">
        <v>795</v>
      </c>
      <c r="E56" s="241" t="n">
        <v>456000</v>
      </c>
    </row>
    <row r="57" customFormat="false" ht="15" hidden="false" customHeight="true" outlineLevel="0" collapsed="false">
      <c r="A57" s="242" t="s">
        <v>796</v>
      </c>
    </row>
    <row r="59" customFormat="false" ht="15" hidden="false" customHeight="true" outlineLevel="0" collapsed="false">
      <c r="A59" s="112" t="s">
        <v>797</v>
      </c>
      <c r="B59" s="112"/>
      <c r="C59" s="112"/>
      <c r="D59" s="112"/>
      <c r="E59" s="112"/>
      <c r="F59" s="112"/>
      <c r="G59" s="112"/>
      <c r="H59" s="112"/>
      <c r="I59" s="112"/>
      <c r="J59" s="112"/>
      <c r="K59" s="112"/>
    </row>
    <row r="60" customFormat="false" ht="15" hidden="false" customHeight="true" outlineLevel="0" collapsed="false">
      <c r="A60" s="90" t="s">
        <v>798</v>
      </c>
      <c r="B60" s="220" t="n">
        <f aca="false">B16</f>
        <v>9009665</v>
      </c>
    </row>
    <row r="61" customFormat="false" ht="15" hidden="false" customHeight="true" outlineLevel="0" collapsed="false">
      <c r="A61" s="90" t="s">
        <v>725</v>
      </c>
      <c r="B61" s="220" t="n">
        <f aca="false">B17</f>
        <v>-1500039</v>
      </c>
    </row>
    <row r="62" customFormat="false" ht="15" hidden="false" customHeight="true" outlineLevel="0" collapsed="false">
      <c r="A62" s="90" t="s">
        <v>726</v>
      </c>
      <c r="B62" s="220" t="n">
        <f aca="false">B18</f>
        <v>-456000</v>
      </c>
    </row>
    <row r="63" customFormat="false" ht="15" hidden="false" customHeight="true" outlineLevel="0" collapsed="false">
      <c r="A63" s="229" t="s">
        <v>727</v>
      </c>
      <c r="B63" s="232" t="n">
        <f aca="false">B60+B61+B62</f>
        <v>7053626</v>
      </c>
    </row>
    <row r="64" customFormat="false" ht="15" hidden="false" customHeight="true" outlineLevel="0" collapsed="false">
      <c r="A64" s="90" t="s">
        <v>799</v>
      </c>
      <c r="B64" s="220" t="n">
        <f aca="false">-B20</f>
        <v>-563192.617</v>
      </c>
    </row>
    <row r="65" customFormat="false" ht="15" hidden="false" customHeight="true" outlineLevel="0" collapsed="false">
      <c r="A65" s="229" t="s">
        <v>729</v>
      </c>
      <c r="B65" s="232" t="n">
        <f aca="false">B63+B64</f>
        <v>6490433.383</v>
      </c>
    </row>
    <row r="66" customFormat="false" ht="15" hidden="false" customHeight="true" outlineLevel="0" collapsed="false">
      <c r="A66" s="90" t="s">
        <v>800</v>
      </c>
      <c r="B66" s="220" t="n">
        <f aca="false">-B22</f>
        <v>-2951665.926</v>
      </c>
    </row>
    <row r="67" customFormat="false" ht="15" hidden="false" customHeight="true" outlineLevel="0" collapsed="false">
      <c r="A67" s="229" t="s">
        <v>731</v>
      </c>
      <c r="B67" s="232" t="n">
        <f aca="false">B65+B66</f>
        <v>3538767.457</v>
      </c>
    </row>
    <row r="68" customFormat="false" ht="15" hidden="false" customHeight="true" outlineLevel="0" collapsed="false">
      <c r="A68" s="90" t="s">
        <v>728</v>
      </c>
      <c r="B68" s="220" t="n">
        <f aca="false">B20</f>
        <v>563192.617</v>
      </c>
    </row>
    <row r="69" customFormat="false" ht="15" hidden="false" customHeight="true" outlineLevel="0" collapsed="false">
      <c r="A69" s="229" t="s">
        <v>732</v>
      </c>
      <c r="B69" s="232" t="n">
        <f aca="false">B67+B68</f>
        <v>4101960.074</v>
      </c>
    </row>
    <row r="71" customFormat="false" ht="15" hidden="false" customHeight="true" outlineLevel="0" collapsed="false">
      <c r="A71" s="233" t="s">
        <v>801</v>
      </c>
      <c r="B71" s="233"/>
      <c r="C71" s="233"/>
      <c r="D71" s="233"/>
      <c r="E71" s="233"/>
      <c r="F71" s="233"/>
      <c r="G71" s="233"/>
      <c r="H71" s="233"/>
      <c r="I71" s="233"/>
      <c r="J71" s="233"/>
      <c r="K71" s="233"/>
    </row>
    <row r="72" customFormat="false" ht="15" hidden="false" customHeight="true" outlineLevel="0" collapsed="false">
      <c r="A72" s="234" t="s">
        <v>608</v>
      </c>
      <c r="B72" s="234" t="s">
        <v>609</v>
      </c>
      <c r="C72" s="234" t="s">
        <v>802</v>
      </c>
    </row>
    <row r="73" customFormat="false" ht="31.5" hidden="false" customHeight="true" outlineLevel="0" collapsed="false">
      <c r="A73" s="97" t="s">
        <v>693</v>
      </c>
      <c r="B73" s="90" t="s">
        <v>803</v>
      </c>
      <c r="C73" s="243" t="s">
        <v>804</v>
      </c>
      <c r="D73" s="243"/>
      <c r="E73" s="243"/>
      <c r="F73" s="243"/>
      <c r="G73" s="243"/>
    </row>
    <row r="74" customFormat="false" ht="31.5" hidden="false" customHeight="true" outlineLevel="0" collapsed="false">
      <c r="A74" s="97" t="s">
        <v>684</v>
      </c>
      <c r="B74" s="90" t="s">
        <v>805</v>
      </c>
      <c r="C74" s="243" t="s">
        <v>806</v>
      </c>
      <c r="D74" s="243"/>
      <c r="E74" s="243"/>
      <c r="F74" s="243"/>
      <c r="G74" s="243"/>
    </row>
    <row r="75" customFormat="false" ht="31.5" hidden="false" customHeight="true" outlineLevel="0" collapsed="false">
      <c r="A75" s="97" t="s">
        <v>695</v>
      </c>
      <c r="B75" s="90" t="s">
        <v>807</v>
      </c>
      <c r="C75" s="243" t="s">
        <v>808</v>
      </c>
      <c r="D75" s="243"/>
      <c r="E75" s="243"/>
      <c r="F75" s="243"/>
      <c r="G75" s="243"/>
    </row>
    <row r="76" customFormat="false" ht="31.5" hidden="false" customHeight="true" outlineLevel="0" collapsed="false">
      <c r="A76" s="97" t="s">
        <v>700</v>
      </c>
      <c r="B76" s="90" t="s">
        <v>809</v>
      </c>
      <c r="C76" s="243" t="s">
        <v>810</v>
      </c>
      <c r="D76" s="243"/>
      <c r="E76" s="243"/>
      <c r="F76" s="243"/>
      <c r="G76" s="243"/>
    </row>
    <row r="77" customFormat="false" ht="31.5" hidden="false" customHeight="true" outlineLevel="0" collapsed="false">
      <c r="A77" s="97" t="s">
        <v>698</v>
      </c>
      <c r="B77" s="90" t="s">
        <v>809</v>
      </c>
      <c r="C77" s="243" t="s">
        <v>811</v>
      </c>
      <c r="D77" s="243"/>
      <c r="E77" s="243"/>
      <c r="F77" s="243"/>
      <c r="G77" s="243"/>
    </row>
    <row r="78" customFormat="false" ht="31.5" hidden="false" customHeight="true" outlineLevel="0" collapsed="false">
      <c r="A78" s="97" t="s">
        <v>690</v>
      </c>
      <c r="B78" s="90" t="s">
        <v>812</v>
      </c>
      <c r="C78" s="243" t="s">
        <v>813</v>
      </c>
      <c r="D78" s="243"/>
      <c r="E78" s="243"/>
      <c r="F78" s="243"/>
      <c r="G78" s="243"/>
    </row>
    <row r="80" customFormat="false" ht="15" hidden="false" customHeight="true" outlineLevel="0" collapsed="false">
      <c r="A80" s="244" t="s">
        <v>814</v>
      </c>
      <c r="B80" s="244"/>
      <c r="C80" s="244"/>
      <c r="D80" s="244"/>
      <c r="E80" s="244"/>
      <c r="F80" s="244"/>
      <c r="G80" s="244"/>
      <c r="H80" s="244"/>
      <c r="I80" s="244"/>
      <c r="J80" s="244"/>
      <c r="K80" s="244"/>
    </row>
    <row r="81" customFormat="false" ht="27.75" hidden="false" customHeight="true" outlineLevel="0" collapsed="false">
      <c r="A81" s="97" t="s">
        <v>815</v>
      </c>
      <c r="B81" s="243" t="s">
        <v>816</v>
      </c>
      <c r="C81" s="243"/>
      <c r="D81" s="243"/>
      <c r="E81" s="243"/>
      <c r="F81" s="243"/>
      <c r="G81" s="243"/>
    </row>
    <row r="82" customFormat="false" ht="27.75" hidden="false" customHeight="true" outlineLevel="0" collapsed="false">
      <c r="A82" s="97" t="s">
        <v>817</v>
      </c>
      <c r="B82" s="243" t="s">
        <v>818</v>
      </c>
      <c r="C82" s="243"/>
      <c r="D82" s="243"/>
      <c r="E82" s="243"/>
      <c r="F82" s="243"/>
      <c r="G82" s="243"/>
    </row>
    <row r="83" customFormat="false" ht="27.75" hidden="false" customHeight="true" outlineLevel="0" collapsed="false">
      <c r="A83" s="97" t="s">
        <v>819</v>
      </c>
      <c r="B83" s="243" t="s">
        <v>820</v>
      </c>
      <c r="C83" s="243"/>
      <c r="D83" s="243"/>
      <c r="E83" s="243"/>
      <c r="F83" s="243"/>
      <c r="G83" s="243"/>
    </row>
    <row r="84" customFormat="false" ht="27.75" hidden="false" customHeight="true" outlineLevel="0" collapsed="false">
      <c r="A84" s="97" t="s">
        <v>821</v>
      </c>
      <c r="B84" s="243" t="s">
        <v>822</v>
      </c>
      <c r="C84" s="243"/>
      <c r="D84" s="243"/>
      <c r="E84" s="243"/>
      <c r="F84" s="243"/>
      <c r="G84" s="243"/>
    </row>
    <row r="85" customFormat="false" ht="27.75" hidden="false" customHeight="true" outlineLevel="0" collapsed="false">
      <c r="A85" s="97" t="s">
        <v>823</v>
      </c>
      <c r="B85" s="243" t="s">
        <v>824</v>
      </c>
      <c r="C85" s="243"/>
      <c r="D85" s="243"/>
      <c r="E85" s="243"/>
      <c r="F85" s="243"/>
      <c r="G85" s="243"/>
    </row>
    <row r="86" customFormat="false" ht="27.75" hidden="false" customHeight="true" outlineLevel="0" collapsed="false">
      <c r="A86" s="97" t="s">
        <v>825</v>
      </c>
      <c r="B86" s="243" t="s">
        <v>826</v>
      </c>
      <c r="C86" s="243"/>
      <c r="D86" s="243"/>
      <c r="E86" s="243"/>
      <c r="F86" s="243"/>
      <c r="G86" s="243"/>
    </row>
    <row r="87" customFormat="false" ht="27.75" hidden="false" customHeight="true" outlineLevel="0" collapsed="false">
      <c r="A87" s="97" t="s">
        <v>827</v>
      </c>
      <c r="B87" s="243" t="s">
        <v>828</v>
      </c>
      <c r="C87" s="243"/>
      <c r="D87" s="243"/>
      <c r="E87" s="243"/>
      <c r="F87" s="243"/>
      <c r="G87" s="243"/>
    </row>
    <row r="88" customFormat="false" ht="27.75" hidden="false" customHeight="true" outlineLevel="0" collapsed="false">
      <c r="A88" s="97" t="s">
        <v>829</v>
      </c>
      <c r="B88" s="243" t="s">
        <v>830</v>
      </c>
      <c r="C88" s="243"/>
      <c r="D88" s="243"/>
      <c r="E88" s="243"/>
      <c r="F88" s="243"/>
      <c r="G88" s="243"/>
    </row>
    <row r="89" customFormat="false" ht="27.75" hidden="false" customHeight="true" outlineLevel="0" collapsed="false">
      <c r="A89" s="97" t="s">
        <v>831</v>
      </c>
      <c r="B89" s="243" t="s">
        <v>832</v>
      </c>
      <c r="C89" s="243"/>
      <c r="D89" s="243"/>
      <c r="E89" s="243"/>
      <c r="F89" s="243"/>
      <c r="G89" s="243"/>
    </row>
    <row r="90" customFormat="false" ht="27.75" hidden="false" customHeight="true" outlineLevel="0" collapsed="false">
      <c r="A90" s="97" t="s">
        <v>833</v>
      </c>
      <c r="B90" s="243" t="s">
        <v>834</v>
      </c>
      <c r="C90" s="243"/>
      <c r="D90" s="243"/>
      <c r="E90" s="243"/>
      <c r="F90" s="243"/>
      <c r="G90" s="243"/>
    </row>
    <row r="91" customFormat="false" ht="15" hidden="false" customHeight="true" outlineLevel="0" collapsed="false">
      <c r="A91" s="1" t="s">
        <v>835</v>
      </c>
      <c r="B91" s="1" t="s">
        <v>836</v>
      </c>
    </row>
    <row r="93" customFormat="false" ht="15" hidden="false" customHeight="true" outlineLevel="0" collapsed="false">
      <c r="A93" s="228" t="s">
        <v>837</v>
      </c>
      <c r="B93" s="228"/>
      <c r="C93" s="228"/>
      <c r="D93" s="228"/>
      <c r="E93" s="228"/>
      <c r="F93" s="228"/>
      <c r="G93" s="228"/>
      <c r="H93" s="228"/>
      <c r="I93" s="228"/>
      <c r="J93" s="228"/>
      <c r="K93" s="228"/>
    </row>
    <row r="94" customFormat="false" ht="15" hidden="false" customHeight="true" outlineLevel="0" collapsed="false">
      <c r="A94" s="90" t="s">
        <v>838</v>
      </c>
      <c r="B94" s="245" t="n">
        <v>0.1</v>
      </c>
    </row>
    <row r="95" customFormat="false" ht="15" hidden="false" customHeight="true" outlineLevel="0" collapsed="false">
      <c r="A95" s="90" t="s">
        <v>839</v>
      </c>
      <c r="B95" s="245" t="n">
        <v>150000</v>
      </c>
    </row>
    <row r="96" customFormat="false" ht="15" hidden="false" customHeight="true" outlineLevel="0" collapsed="false">
      <c r="A96" s="1" t="s">
        <v>840</v>
      </c>
      <c r="B96" s="1" t="s">
        <v>841</v>
      </c>
    </row>
    <row r="97" customFormat="false" ht="15" hidden="false" customHeight="true" outlineLevel="0" collapsed="false">
      <c r="A97" s="112" t="s">
        <v>842</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565</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725</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726</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727</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728</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729</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730</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731</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732</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843</v>
      </c>
    </row>
    <row r="113" customFormat="false" ht="15" hidden="false" customHeight="true" outlineLevel="0" collapsed="false">
      <c r="A113" s="1" t="s">
        <v>844</v>
      </c>
    </row>
    <row r="114" customFormat="false" ht="15" hidden="false" customHeight="true" outlineLevel="0" collapsed="false">
      <c r="A114" s="1" t="s">
        <v>845</v>
      </c>
    </row>
    <row r="115" customFormat="false" ht="15" hidden="false" customHeight="true" outlineLevel="0" collapsed="false">
      <c r="A115" s="1" t="s">
        <v>846</v>
      </c>
    </row>
    <row r="116" customFormat="false" ht="15" hidden="false" customHeight="true" outlineLevel="0" collapsed="false">
      <c r="A116" s="1" t="s">
        <v>847</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848</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849</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850</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851</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849</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850</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851</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849</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3157.89473684211</v>
      </c>
      <c r="N14" s="249" t="n">
        <f aca="false">Model!P248+Model!P249+Model!P250</f>
        <v>3157.89473684211</v>
      </c>
      <c r="O14" s="249" t="n">
        <f aca="false">Model!Q248+Model!Q249+Model!Q250</f>
        <v>3157.89473684211</v>
      </c>
      <c r="P14" s="249" t="n">
        <f aca="false">Model!R248+Model!R249+Model!R250</f>
        <v>3157.89473684211</v>
      </c>
      <c r="Q14" s="249" t="n">
        <f aca="false">Model!S248+Model!S249+Model!S250</f>
        <v>3157.89473684211</v>
      </c>
      <c r="R14" s="249" t="n">
        <f aca="false">Model!T248+Model!T249+Model!T250</f>
        <v>3157.89473684211</v>
      </c>
      <c r="S14" s="249" t="n">
        <f aca="false">Model!U248+Model!U249+Model!U250</f>
        <v>3157.89473684211</v>
      </c>
      <c r="T14" s="249" t="n">
        <f aca="false">Model!V248+Model!V249+Model!V250</f>
        <v>3157.89473684211</v>
      </c>
      <c r="U14" s="249" t="n">
        <f aca="false">Model!W248+Model!W249+Model!W250</f>
        <v>3157.89473684211</v>
      </c>
      <c r="V14" s="249" t="n">
        <f aca="false">Model!X248+Model!X249+Model!X250</f>
        <v>3157.89473684211</v>
      </c>
      <c r="W14" s="249" t="n">
        <f aca="false">Model!Y248+Model!Y249+Model!Y250</f>
        <v>3157.89473684211</v>
      </c>
      <c r="X14" s="249" t="n">
        <f aca="false">Model!Z248+Model!Z249+Model!Z250</f>
        <v>3157.89473684211</v>
      </c>
      <c r="Y14" s="249" t="n">
        <f aca="false">Model!AA248+Model!AA249+Model!AA250</f>
        <v>3157.89473684211</v>
      </c>
      <c r="Z14" s="249" t="n">
        <f aca="false">Model!AB248+Model!AB249+Model!AB250</f>
        <v>3157.89473684211</v>
      </c>
      <c r="AA14" s="249" t="n">
        <f aca="false">Model!AC248+Model!AC249+Model!AC250</f>
        <v>3157.89473684211</v>
      </c>
      <c r="AB14" s="249" t="n">
        <f aca="false">Model!AD248+Model!AD249+Model!AD250</f>
        <v>3157.89473684211</v>
      </c>
      <c r="AC14" s="249" t="n">
        <f aca="false">Model!AE248+Model!AE249+Model!AE250</f>
        <v>3157.89473684211</v>
      </c>
      <c r="AD14" s="249" t="n">
        <f aca="false">Model!AF248+Model!AF249+Model!AF250</f>
        <v>3157.89473684211</v>
      </c>
      <c r="AE14" s="249" t="n">
        <f aca="false">Model!AG248+Model!AG249+Model!AG250</f>
        <v>3157.89473684211</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852</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-155771</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850</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-152613.105263158</v>
      </c>
      <c r="N16" s="251" t="n">
        <f aca="false">N14+N15</f>
        <v>3157.89473684211</v>
      </c>
      <c r="O16" s="251" t="n">
        <f aca="false">O14+O15</f>
        <v>3157.89473684211</v>
      </c>
      <c r="P16" s="251" t="n">
        <f aca="false">P14+P15</f>
        <v>3157.89473684211</v>
      </c>
      <c r="Q16" s="251" t="n">
        <f aca="false">Q14+Q15</f>
        <v>3157.89473684211</v>
      </c>
      <c r="R16" s="251" t="n">
        <f aca="false">R14+R15</f>
        <v>3157.89473684211</v>
      </c>
      <c r="S16" s="251" t="n">
        <f aca="false">S14+S15</f>
        <v>3157.89473684211</v>
      </c>
      <c r="T16" s="251" t="n">
        <f aca="false">T14+T15</f>
        <v>3157.89473684211</v>
      </c>
      <c r="U16" s="251" t="n">
        <f aca="false">U14+U15</f>
        <v>3157.89473684211</v>
      </c>
      <c r="V16" s="251" t="n">
        <f aca="false">V14+V15</f>
        <v>3157.89473684211</v>
      </c>
      <c r="W16" s="251" t="n">
        <f aca="false">W14+W15</f>
        <v>3157.89473684211</v>
      </c>
      <c r="X16" s="251" t="n">
        <f aca="false">X14+X15</f>
        <v>3157.89473684211</v>
      </c>
      <c r="Y16" s="251" t="n">
        <f aca="false">Y14+Y15</f>
        <v>3157.89473684211</v>
      </c>
      <c r="Z16" s="251" t="n">
        <f aca="false">Z14+Z15</f>
        <v>3157.89473684211</v>
      </c>
      <c r="AA16" s="251" t="n">
        <f aca="false">AA14+AA15</f>
        <v>3157.89473684211</v>
      </c>
      <c r="AB16" s="251" t="n">
        <f aca="false">AB14+AB15</f>
        <v>3157.89473684211</v>
      </c>
      <c r="AC16" s="251" t="n">
        <f aca="false">AC14+AC15</f>
        <v>3157.89473684211</v>
      </c>
      <c r="AD16" s="251" t="n">
        <f aca="false">AD14+AD15</f>
        <v>3157.89473684211</v>
      </c>
      <c r="AE16" s="251" t="n">
        <f aca="false">AE14+AE15</f>
        <v>3157.89473684211</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851</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-152613.105263158</v>
      </c>
      <c r="N17" s="252" t="n">
        <f aca="false">M17+N16</f>
        <v>-149455.210526316</v>
      </c>
      <c r="O17" s="252" t="n">
        <f aca="false">N17+O16</f>
        <v>-146297.315789474</v>
      </c>
      <c r="P17" s="252" t="n">
        <f aca="false">O17+P16</f>
        <v>-143139.421052632</v>
      </c>
      <c r="Q17" s="252" t="n">
        <f aca="false">P17+Q16</f>
        <v>-139981.526315789</v>
      </c>
      <c r="R17" s="252" t="n">
        <f aca="false">Q17+R16</f>
        <v>-136823.631578947</v>
      </c>
      <c r="S17" s="252" t="n">
        <f aca="false">R17+S16</f>
        <v>-133665.736842105</v>
      </c>
      <c r="T17" s="252" t="n">
        <f aca="false">S17+T16</f>
        <v>-130507.842105263</v>
      </c>
      <c r="U17" s="252" t="n">
        <f aca="false">T17+U16</f>
        <v>-127349.947368421</v>
      </c>
      <c r="V17" s="252" t="n">
        <f aca="false">U17+V16</f>
        <v>-124192.052631579</v>
      </c>
      <c r="W17" s="252" t="n">
        <f aca="false">V17+W16</f>
        <v>-121034.157894737</v>
      </c>
      <c r="X17" s="252" t="n">
        <f aca="false">W17+X16</f>
        <v>-117876.263157895</v>
      </c>
      <c r="Y17" s="252" t="n">
        <f aca="false">X17+Y16</f>
        <v>-114718.368421053</v>
      </c>
      <c r="Z17" s="252" t="n">
        <f aca="false">Y17+Z16</f>
        <v>-111560.473684211</v>
      </c>
      <c r="AA17" s="252" t="n">
        <f aca="false">Z17+AA16</f>
        <v>-108402.578947368</v>
      </c>
      <c r="AB17" s="252" t="n">
        <f aca="false">AA17+AB16</f>
        <v>-105244.684210526</v>
      </c>
      <c r="AC17" s="252" t="n">
        <f aca="false">AB17+AC16</f>
        <v>-102086.789473684</v>
      </c>
      <c r="AD17" s="252" t="n">
        <f aca="false">AC17+AD16</f>
        <v>-98928.8947368421</v>
      </c>
      <c r="AE17" s="252" t="n">
        <f aca="false">AD17+AE16</f>
        <v>-95771</v>
      </c>
      <c r="AF17" s="252" t="n">
        <f aca="false">AE17+AF16</f>
        <v>-95771</v>
      </c>
      <c r="AG17" s="252" t="n">
        <f aca="false">AF17+AG16</f>
        <v>-95771</v>
      </c>
      <c r="AH17" s="252" t="n">
        <f aca="false">AG17+AH16</f>
        <v>-95771</v>
      </c>
      <c r="AI17" s="252" t="n">
        <f aca="false">AH17+AI16</f>
        <v>-95771</v>
      </c>
      <c r="AJ17" s="252" t="n">
        <f aca="false">AI17+AJ16</f>
        <v>-95771</v>
      </c>
      <c r="AK17" s="252" t="n">
        <f aca="false">AJ17+AK16</f>
        <v>-95771</v>
      </c>
      <c r="AL17" s="252" t="n">
        <f aca="false">AK17+AL16</f>
        <v>-95771</v>
      </c>
      <c r="AM17" s="252" t="n">
        <f aca="false">AL17+AM16</f>
        <v>-95771</v>
      </c>
      <c r="AN17" s="252" t="n">
        <f aca="false">AM17+AN16</f>
        <v>-95771</v>
      </c>
      <c r="AO17" s="252" t="n">
        <f aca="false">AN17+AO16</f>
        <v>-95771</v>
      </c>
      <c r="AP17" s="252" t="n">
        <f aca="false">AO17+AP16</f>
        <v>-95771</v>
      </c>
      <c r="AQ17" s="252" t="n">
        <f aca="false">AP17+AQ16</f>
        <v>-95771</v>
      </c>
      <c r="AR17" s="252" t="n">
        <f aca="false">AQ17+AR16</f>
        <v>-95771</v>
      </c>
      <c r="AS17" s="252" t="n">
        <f aca="false">AR17+AS16</f>
        <v>-95771</v>
      </c>
      <c r="AT17" s="252" t="n">
        <f aca="false">AS17+AT16</f>
        <v>-95771</v>
      </c>
      <c r="AU17" s="252" t="n">
        <f aca="false">AT17+AU16</f>
        <v>-95771</v>
      </c>
      <c r="AV17" s="252" t="n">
        <f aca="false">AU17+AV16</f>
        <v>-95771</v>
      </c>
      <c r="AW17" s="252" t="n">
        <f aca="false">AV17+AW16</f>
        <v>-95771</v>
      </c>
      <c r="AX17" s="252" t="n">
        <f aca="false">AW17+AX16</f>
        <v>-95771</v>
      </c>
      <c r="AY17" s="252" t="n">
        <f aca="false">AX17+AY16</f>
        <v>-95771</v>
      </c>
      <c r="AZ17" s="252" t="n">
        <f aca="false">AY17+AZ16</f>
        <v>-95771</v>
      </c>
      <c r="BA17" s="252" t="n">
        <f aca="false">AZ17+BA16</f>
        <v>-95771</v>
      </c>
      <c r="BB17" s="252" t="n">
        <f aca="false">BA17+BB16</f>
        <v>-95771</v>
      </c>
      <c r="BC17" s="252" t="n">
        <f aca="false">BB17+BC16</f>
        <v>-95771</v>
      </c>
      <c r="BD17" s="252" t="n">
        <f aca="false">BC17+BD16</f>
        <v>-95771</v>
      </c>
      <c r="BE17" s="252" t="n">
        <f aca="false">BD17+BE16</f>
        <v>-95771</v>
      </c>
      <c r="BF17" s="252" t="n">
        <f aca="false">BE17+BF16</f>
        <v>-95771</v>
      </c>
      <c r="BG17" s="252" t="n">
        <f aca="false">BF17+BG16</f>
        <v>-95771</v>
      </c>
      <c r="BH17" s="252" t="n">
        <f aca="false">BG17+BH16</f>
        <v>-95771</v>
      </c>
      <c r="BI17" s="252" t="n">
        <f aca="false">BH17+BI16</f>
        <v>-95771</v>
      </c>
      <c r="BJ17" s="252" t="n">
        <f aca="false">BI17+BJ16</f>
        <v>-95771</v>
      </c>
      <c r="BK17" s="252" t="n">
        <f aca="false">BJ17+BK16</f>
        <v>-95771</v>
      </c>
      <c r="BL17" s="252" t="n">
        <f aca="false">BK17+BL16</f>
        <v>-95771</v>
      </c>
      <c r="BM17" s="252" t="n">
        <f aca="false">BL17+BM16</f>
        <v>-95771</v>
      </c>
      <c r="BN17" s="252" t="n">
        <f aca="false">BM17+BN16</f>
        <v>-95771</v>
      </c>
      <c r="BO17" s="252" t="n">
        <f aca="false">BN17+BO16</f>
        <v>-95771</v>
      </c>
      <c r="BP17" s="252" t="n">
        <f aca="false">BO17+BP16</f>
        <v>-95771</v>
      </c>
      <c r="BQ17" s="252" t="n">
        <f aca="false">BP17+BQ16</f>
        <v>-95771</v>
      </c>
      <c r="BR17" s="252" t="n">
        <f aca="false">BQ17+BR16</f>
        <v>-95771</v>
      </c>
      <c r="BS17" s="252" t="n">
        <f aca="false">BR17+BS16</f>
        <v>-95771</v>
      </c>
      <c r="BT17" s="252" t="n">
        <f aca="false">BS17+BT16</f>
        <v>-95771</v>
      </c>
      <c r="BU17" s="252" t="n">
        <f aca="false">BT17+BU16</f>
        <v>-95771</v>
      </c>
      <c r="BV17" s="252" t="n">
        <f aca="false">BU17+BV16</f>
        <v>-95771</v>
      </c>
      <c r="BW17" s="252" t="n">
        <f aca="false">BV17+BW16</f>
        <v>-95771</v>
      </c>
      <c r="BX17" s="252" t="n">
        <f aca="false">BW17+BX16</f>
        <v>-95771</v>
      </c>
      <c r="BY17" s="252" t="n">
        <f aca="false">BX17+BY16</f>
        <v>-95771</v>
      </c>
      <c r="BZ17" s="252" t="n">
        <f aca="false">BY17+BZ16</f>
        <v>-95771</v>
      </c>
      <c r="CA17" s="252" t="n">
        <f aca="false">BZ17+CA16</f>
        <v>-95771</v>
      </c>
      <c r="CB17" s="252" t="n">
        <f aca="false">CA17+CB16</f>
        <v>-95771</v>
      </c>
      <c r="CC17" s="252" t="n">
        <f aca="false">CB17+CC16</f>
        <v>-95771</v>
      </c>
      <c r="CD17" s="252" t="n">
        <f aca="false">CC17+CD16</f>
        <v>-95771</v>
      </c>
      <c r="CE17" s="252" t="n">
        <f aca="false">CD17+CE16</f>
        <v>-95771</v>
      </c>
      <c r="CF17" s="252" t="n">
        <f aca="false">CE17+CF16</f>
        <v>-95771</v>
      </c>
      <c r="CG17" s="252" t="n">
        <f aca="false">CF17+CG16</f>
        <v>-95771</v>
      </c>
      <c r="CH17" s="252"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849</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3157.89473684211</v>
      </c>
      <c r="M20" s="249" t="n">
        <f aca="false">Model!O251+Model!O252+Model!O253</f>
        <v>3157.89473684211</v>
      </c>
      <c r="N20" s="249" t="n">
        <f aca="false">Model!P251+Model!P252+Model!P253</f>
        <v>3157.89473684211</v>
      </c>
      <c r="O20" s="249" t="n">
        <f aca="false">Model!Q251+Model!Q252+Model!Q253</f>
        <v>3157.89473684211</v>
      </c>
      <c r="P20" s="249" t="n">
        <f aca="false">Model!R251+Model!R252+Model!R253</f>
        <v>3157.89473684211</v>
      </c>
      <c r="Q20" s="249" t="n">
        <f aca="false">Model!S251+Model!S252+Model!S253</f>
        <v>3157.89473684211</v>
      </c>
      <c r="R20" s="249" t="n">
        <f aca="false">Model!T251+Model!T252+Model!T253</f>
        <v>3157.89473684211</v>
      </c>
      <c r="S20" s="249" t="n">
        <f aca="false">Model!U251+Model!U252+Model!U253</f>
        <v>3157.89473684211</v>
      </c>
      <c r="T20" s="249" t="n">
        <f aca="false">Model!V251+Model!V252+Model!V253</f>
        <v>3157.89473684211</v>
      </c>
      <c r="U20" s="249" t="n">
        <f aca="false">Model!W251+Model!W252+Model!W253</f>
        <v>3157.89473684211</v>
      </c>
      <c r="V20" s="249" t="n">
        <f aca="false">Model!X251+Model!X252+Model!X253</f>
        <v>3157.89473684211</v>
      </c>
      <c r="W20" s="249" t="n">
        <f aca="false">Model!Y251+Model!Y252+Model!Y253</f>
        <v>3157.89473684211</v>
      </c>
      <c r="X20" s="249" t="n">
        <f aca="false">Model!Z251+Model!Z252+Model!Z253</f>
        <v>3157.89473684211</v>
      </c>
      <c r="Y20" s="249" t="n">
        <f aca="false">Model!AA251+Model!AA252+Model!AA253</f>
        <v>3157.89473684211</v>
      </c>
      <c r="Z20" s="249" t="n">
        <f aca="false">Model!AB251+Model!AB252+Model!AB253</f>
        <v>3157.89473684211</v>
      </c>
      <c r="AA20" s="249" t="n">
        <f aca="false">Model!AC251+Model!AC252+Model!AC253</f>
        <v>3157.89473684211</v>
      </c>
      <c r="AB20" s="249" t="n">
        <f aca="false">Model!AD251+Model!AD252+Model!AD253</f>
        <v>3157.89473684211</v>
      </c>
      <c r="AC20" s="249" t="n">
        <f aca="false">Model!AE251+Model!AE252+Model!AE253</f>
        <v>3157.89473684211</v>
      </c>
      <c r="AD20" s="249" t="n">
        <f aca="false">Model!AF251+Model!AF252+Model!AF253</f>
        <v>3157.89473684211</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852</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-135452</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850</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-132294.105263158</v>
      </c>
      <c r="M22" s="251" t="n">
        <f aca="false">M20+M21</f>
        <v>3157.89473684211</v>
      </c>
      <c r="N22" s="251" t="n">
        <f aca="false">N20+N21</f>
        <v>3157.89473684211</v>
      </c>
      <c r="O22" s="251" t="n">
        <f aca="false">O20+O21</f>
        <v>3157.89473684211</v>
      </c>
      <c r="P22" s="251" t="n">
        <f aca="false">P20+P21</f>
        <v>3157.89473684211</v>
      </c>
      <c r="Q22" s="251" t="n">
        <f aca="false">Q20+Q21</f>
        <v>3157.89473684211</v>
      </c>
      <c r="R22" s="251" t="n">
        <f aca="false">R20+R21</f>
        <v>3157.89473684211</v>
      </c>
      <c r="S22" s="251" t="n">
        <f aca="false">S20+S21</f>
        <v>3157.89473684211</v>
      </c>
      <c r="T22" s="251" t="n">
        <f aca="false">T20+T21</f>
        <v>3157.89473684211</v>
      </c>
      <c r="U22" s="251" t="n">
        <f aca="false">U20+U21</f>
        <v>3157.89473684211</v>
      </c>
      <c r="V22" s="251" t="n">
        <f aca="false">V20+V21</f>
        <v>3157.89473684211</v>
      </c>
      <c r="W22" s="251" t="n">
        <f aca="false">W20+W21</f>
        <v>3157.89473684211</v>
      </c>
      <c r="X22" s="251" t="n">
        <f aca="false">X20+X21</f>
        <v>3157.89473684211</v>
      </c>
      <c r="Y22" s="251" t="n">
        <f aca="false">Y20+Y21</f>
        <v>3157.89473684211</v>
      </c>
      <c r="Z22" s="251" t="n">
        <f aca="false">Z20+Z21</f>
        <v>3157.89473684211</v>
      </c>
      <c r="AA22" s="251" t="n">
        <f aca="false">AA20+AA21</f>
        <v>3157.89473684211</v>
      </c>
      <c r="AB22" s="251" t="n">
        <f aca="false">AB20+AB21</f>
        <v>3157.89473684211</v>
      </c>
      <c r="AC22" s="251" t="n">
        <f aca="false">AC20+AC21</f>
        <v>3157.89473684211</v>
      </c>
      <c r="AD22" s="251" t="n">
        <f aca="false">AD20+AD21</f>
        <v>3157.89473684211</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851</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-132294.105263158</v>
      </c>
      <c r="M23" s="252" t="n">
        <f aca="false">L23+M22</f>
        <v>-129136.210526316</v>
      </c>
      <c r="N23" s="252" t="n">
        <f aca="false">M23+N22</f>
        <v>-125978.315789474</v>
      </c>
      <c r="O23" s="252" t="n">
        <f aca="false">N23+O22</f>
        <v>-122820.421052632</v>
      </c>
      <c r="P23" s="252" t="n">
        <f aca="false">O23+P22</f>
        <v>-119662.526315789</v>
      </c>
      <c r="Q23" s="252" t="n">
        <f aca="false">P23+Q22</f>
        <v>-116504.631578947</v>
      </c>
      <c r="R23" s="252" t="n">
        <f aca="false">Q23+R22</f>
        <v>-113346.736842105</v>
      </c>
      <c r="S23" s="252" t="n">
        <f aca="false">R23+S22</f>
        <v>-110188.842105263</v>
      </c>
      <c r="T23" s="252" t="n">
        <f aca="false">S23+T22</f>
        <v>-107030.947368421</v>
      </c>
      <c r="U23" s="252" t="n">
        <f aca="false">T23+U22</f>
        <v>-103873.052631579</v>
      </c>
      <c r="V23" s="252" t="n">
        <f aca="false">U23+V22</f>
        <v>-100715.157894737</v>
      </c>
      <c r="W23" s="252" t="n">
        <f aca="false">V23+W22</f>
        <v>-97557.2631578947</v>
      </c>
      <c r="X23" s="252" t="n">
        <f aca="false">W23+X22</f>
        <v>-94399.3684210526</v>
      </c>
      <c r="Y23" s="252" t="n">
        <f aca="false">X23+Y22</f>
        <v>-91241.4736842105</v>
      </c>
      <c r="Z23" s="252" t="n">
        <f aca="false">Y23+Z22</f>
        <v>-88083.5789473684</v>
      </c>
      <c r="AA23" s="252" t="n">
        <f aca="false">Z23+AA22</f>
        <v>-84925.6842105263</v>
      </c>
      <c r="AB23" s="252" t="n">
        <f aca="false">AA23+AB22</f>
        <v>-81767.7894736842</v>
      </c>
      <c r="AC23" s="252" t="n">
        <f aca="false">AB23+AC22</f>
        <v>-78609.8947368421</v>
      </c>
      <c r="AD23" s="252" t="n">
        <f aca="false">AC23+AD22</f>
        <v>-75452</v>
      </c>
      <c r="AE23" s="252" t="n">
        <f aca="false">AD23+AE22</f>
        <v>-75452</v>
      </c>
      <c r="AF23" s="252" t="n">
        <f aca="false">AE23+AF22</f>
        <v>-75452</v>
      </c>
      <c r="AG23" s="252" t="n">
        <f aca="false">AF23+AG22</f>
        <v>-75452</v>
      </c>
      <c r="AH23" s="252" t="n">
        <f aca="false">AG23+AH22</f>
        <v>-75452</v>
      </c>
      <c r="AI23" s="252" t="n">
        <f aca="false">AH23+AI22</f>
        <v>-75452</v>
      </c>
      <c r="AJ23" s="252" t="n">
        <f aca="false">AI23+AJ22</f>
        <v>-75452</v>
      </c>
      <c r="AK23" s="252" t="n">
        <f aca="false">AJ23+AK22</f>
        <v>-75452</v>
      </c>
      <c r="AL23" s="252" t="n">
        <f aca="false">AK23+AL22</f>
        <v>-75452</v>
      </c>
      <c r="AM23" s="252" t="n">
        <f aca="false">AL23+AM22</f>
        <v>-75452</v>
      </c>
      <c r="AN23" s="252" t="n">
        <f aca="false">AM23+AN22</f>
        <v>-75452</v>
      </c>
      <c r="AO23" s="252" t="n">
        <f aca="false">AN23+AO22</f>
        <v>-75452</v>
      </c>
      <c r="AP23" s="252" t="n">
        <f aca="false">AO23+AP22</f>
        <v>-75452</v>
      </c>
      <c r="AQ23" s="252" t="n">
        <f aca="false">AP23+AQ22</f>
        <v>-75452</v>
      </c>
      <c r="AR23" s="252" t="n">
        <f aca="false">AQ23+AR22</f>
        <v>-75452</v>
      </c>
      <c r="AS23" s="252" t="n">
        <f aca="false">AR23+AS22</f>
        <v>-75452</v>
      </c>
      <c r="AT23" s="252" t="n">
        <f aca="false">AS23+AT22</f>
        <v>-75452</v>
      </c>
      <c r="AU23" s="252" t="n">
        <f aca="false">AT23+AU22</f>
        <v>-75452</v>
      </c>
      <c r="AV23" s="252" t="n">
        <f aca="false">AU23+AV22</f>
        <v>-75452</v>
      </c>
      <c r="AW23" s="252" t="n">
        <f aca="false">AV23+AW22</f>
        <v>-75452</v>
      </c>
      <c r="AX23" s="252" t="n">
        <f aca="false">AW23+AX22</f>
        <v>-75452</v>
      </c>
      <c r="AY23" s="252" t="n">
        <f aca="false">AX23+AY22</f>
        <v>-75452</v>
      </c>
      <c r="AZ23" s="252" t="n">
        <f aca="false">AY23+AZ22</f>
        <v>-75452</v>
      </c>
      <c r="BA23" s="252" t="n">
        <f aca="false">AZ23+BA22</f>
        <v>-75452</v>
      </c>
      <c r="BB23" s="252" t="n">
        <f aca="false">BA23+BB22</f>
        <v>-75452</v>
      </c>
      <c r="BC23" s="252" t="n">
        <f aca="false">BB23+BC22</f>
        <v>-75452</v>
      </c>
      <c r="BD23" s="252" t="n">
        <f aca="false">BC23+BD22</f>
        <v>-75452</v>
      </c>
      <c r="BE23" s="252" t="n">
        <f aca="false">BD23+BE22</f>
        <v>-75452</v>
      </c>
      <c r="BF23" s="252" t="n">
        <f aca="false">BE23+BF22</f>
        <v>-75452</v>
      </c>
      <c r="BG23" s="252" t="n">
        <f aca="false">BF23+BG22</f>
        <v>-75452</v>
      </c>
      <c r="BH23" s="252" t="n">
        <f aca="false">BG23+BH22</f>
        <v>-75452</v>
      </c>
      <c r="BI23" s="252" t="n">
        <f aca="false">BH23+BI22</f>
        <v>-75452</v>
      </c>
      <c r="BJ23" s="252" t="n">
        <f aca="false">BI23+BJ22</f>
        <v>-75452</v>
      </c>
      <c r="BK23" s="252" t="n">
        <f aca="false">BJ23+BK22</f>
        <v>-75452</v>
      </c>
      <c r="BL23" s="252" t="n">
        <f aca="false">BK23+BL22</f>
        <v>-75452</v>
      </c>
      <c r="BM23" s="252" t="n">
        <f aca="false">BL23+BM22</f>
        <v>-75452</v>
      </c>
      <c r="BN23" s="252" t="n">
        <f aca="false">BM23+BN22</f>
        <v>-75452</v>
      </c>
      <c r="BO23" s="252" t="n">
        <f aca="false">BN23+BO22</f>
        <v>-75452</v>
      </c>
      <c r="BP23" s="252" t="n">
        <f aca="false">BO23+BP22</f>
        <v>-75452</v>
      </c>
      <c r="BQ23" s="252" t="n">
        <f aca="false">BP23+BQ22</f>
        <v>-75452</v>
      </c>
      <c r="BR23" s="252" t="n">
        <f aca="false">BQ23+BR22</f>
        <v>-75452</v>
      </c>
      <c r="BS23" s="252" t="n">
        <f aca="false">BR23+BS22</f>
        <v>-75452</v>
      </c>
      <c r="BT23" s="252" t="n">
        <f aca="false">BS23+BT22</f>
        <v>-75452</v>
      </c>
      <c r="BU23" s="252" t="n">
        <f aca="false">BT23+BU22</f>
        <v>-75452</v>
      </c>
      <c r="BV23" s="252" t="n">
        <f aca="false">BU23+BV22</f>
        <v>-75452</v>
      </c>
      <c r="BW23" s="252" t="n">
        <f aca="false">BV23+BW22</f>
        <v>-75452</v>
      </c>
      <c r="BX23" s="252" t="n">
        <f aca="false">BW23+BX22</f>
        <v>-75452</v>
      </c>
      <c r="BY23" s="252" t="n">
        <f aca="false">BX23+BY22</f>
        <v>-75452</v>
      </c>
      <c r="BZ23" s="252" t="n">
        <f aca="false">BY23+BZ22</f>
        <v>-75452</v>
      </c>
      <c r="CA23" s="252" t="n">
        <f aca="false">BZ23+CA22</f>
        <v>-75452</v>
      </c>
      <c r="CB23" s="252" t="n">
        <f aca="false">CA23+CB22</f>
        <v>-75452</v>
      </c>
      <c r="CC23" s="252" t="n">
        <f aca="false">CB23+CC22</f>
        <v>-75452</v>
      </c>
      <c r="CD23" s="252" t="n">
        <f aca="false">CC23+CD22</f>
        <v>-75452</v>
      </c>
      <c r="CE23" s="252" t="n">
        <f aca="false">CD23+CE22</f>
        <v>-75452</v>
      </c>
      <c r="CF23" s="252" t="n">
        <f aca="false">CE23+CF22</f>
        <v>-75452</v>
      </c>
      <c r="CG23" s="252" t="n">
        <f aca="false">CF23+CG22</f>
        <v>-75452</v>
      </c>
      <c r="CH23" s="252"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849</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852</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850</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851</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849</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0</v>
      </c>
      <c r="BB32" s="249" t="n">
        <f aca="false">Model!BD255</f>
        <v>0</v>
      </c>
      <c r="BC32" s="249" t="n">
        <f aca="false">Model!BE255</f>
        <v>0</v>
      </c>
      <c r="BD32" s="249" t="n">
        <f aca="false">Model!BF255</f>
        <v>0</v>
      </c>
      <c r="BE32" s="249" t="n">
        <f aca="false">Model!BG255</f>
        <v>0</v>
      </c>
      <c r="BF32" s="249" t="n">
        <f aca="false">Model!BH255</f>
        <v>0</v>
      </c>
      <c r="BG32" s="249" t="n">
        <f aca="false">Model!BI255</f>
        <v>0</v>
      </c>
      <c r="BH32" s="249" t="n">
        <f aca="false">Model!BJ255</f>
        <v>0</v>
      </c>
      <c r="BI32" s="249" t="n">
        <f aca="false">Model!BK255</f>
        <v>0</v>
      </c>
      <c r="BJ32" s="249" t="n">
        <f aca="false">Model!BL255</f>
        <v>0</v>
      </c>
      <c r="BK32" s="249" t="n">
        <f aca="false">Model!BM255</f>
        <v>0</v>
      </c>
      <c r="BL32" s="249" t="n">
        <f aca="false">Model!BN255</f>
        <v>0</v>
      </c>
      <c r="BM32" s="249" t="n">
        <f aca="false">Model!BO255</f>
        <v>0</v>
      </c>
      <c r="BN32" s="249" t="n">
        <f aca="false">Model!BP255</f>
        <v>0</v>
      </c>
      <c r="BO32" s="249" t="n">
        <f aca="false">Model!BQ255</f>
        <v>0</v>
      </c>
      <c r="BP32" s="249" t="n">
        <f aca="false">Model!BR255</f>
        <v>0</v>
      </c>
      <c r="BQ32" s="249" t="n">
        <f aca="false">Model!BS255</f>
        <v>0</v>
      </c>
      <c r="BR32" s="249" t="n">
        <f aca="false">Model!BT255</f>
        <v>0</v>
      </c>
      <c r="BS32" s="249" t="n">
        <f aca="false">Model!BU255</f>
        <v>0</v>
      </c>
      <c r="BT32" s="249" t="n">
        <f aca="false">Model!BV255</f>
        <v>0</v>
      </c>
      <c r="BU32" s="249" t="n">
        <f aca="false">Model!BW255</f>
        <v>0</v>
      </c>
      <c r="BV32" s="249" t="n">
        <f aca="false">Model!BX255</f>
        <v>0</v>
      </c>
      <c r="BW32" s="249" t="n">
        <f aca="false">Model!BY255</f>
        <v>0</v>
      </c>
      <c r="BX32" s="249" t="n">
        <f aca="false">Model!BZ255</f>
        <v>0</v>
      </c>
      <c r="BY32" s="249" t="n">
        <f aca="false">Model!CA255</f>
        <v>0</v>
      </c>
      <c r="BZ32" s="249" t="n">
        <f aca="false">Model!CB255</f>
        <v>0</v>
      </c>
      <c r="CA32" s="249" t="n">
        <f aca="false">Model!CC255</f>
        <v>0</v>
      </c>
      <c r="CB32" s="249" t="n">
        <f aca="false">Model!CD255</f>
        <v>0</v>
      </c>
      <c r="CC32" s="249" t="n">
        <f aca="false">Model!CE255</f>
        <v>0</v>
      </c>
      <c r="CD32" s="249" t="n">
        <f aca="false">Model!CF255</f>
        <v>0</v>
      </c>
      <c r="CE32" s="249" t="n">
        <f aca="false">Model!CG255</f>
        <v>0</v>
      </c>
      <c r="CF32" s="249" t="n">
        <f aca="false">Model!CH255</f>
        <v>0</v>
      </c>
      <c r="CG32" s="249" t="n">
        <f aca="false">Model!CI255</f>
        <v>0</v>
      </c>
      <c r="CH32" s="249" t="n">
        <f aca="false">Model!CJ255</f>
        <v>0</v>
      </c>
    </row>
    <row r="33" customFormat="false" ht="15" hidden="false" customHeight="true" outlineLevel="0" collapsed="false">
      <c r="A33" s="253" t="s">
        <v>852</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-0</v>
      </c>
      <c r="BB33" s="254" t="n">
        <f aca="false">Model!BD290</f>
        <v>-0</v>
      </c>
      <c r="BC33" s="254" t="n">
        <f aca="false">Model!BE290</f>
        <v>-0</v>
      </c>
      <c r="BD33" s="254" t="n">
        <f aca="false">Model!BF290</f>
        <v>-0</v>
      </c>
      <c r="BE33" s="254" t="n">
        <f aca="false">Model!BG290</f>
        <v>-0</v>
      </c>
      <c r="BF33" s="254" t="n">
        <f aca="false">Model!BH290</f>
        <v>-0</v>
      </c>
      <c r="BG33" s="254" t="n">
        <f aca="false">Model!BI290</f>
        <v>-0</v>
      </c>
      <c r="BH33" s="254" t="n">
        <f aca="false">Model!BJ290</f>
        <v>-0</v>
      </c>
      <c r="BI33" s="254" t="n">
        <f aca="false">Model!BK290</f>
        <v>-0</v>
      </c>
      <c r="BJ33" s="254" t="n">
        <f aca="false">Model!BL290</f>
        <v>-0</v>
      </c>
      <c r="BK33" s="254" t="n">
        <f aca="false">Model!BM290</f>
        <v>-0</v>
      </c>
      <c r="BL33" s="254" t="n">
        <f aca="false">Model!BN290</f>
        <v>-0</v>
      </c>
      <c r="BM33" s="254" t="n">
        <f aca="false">Model!BO290</f>
        <v>-0</v>
      </c>
      <c r="BN33" s="254" t="n">
        <f aca="false">Model!BP290</f>
        <v>-0</v>
      </c>
      <c r="BO33" s="254" t="n">
        <f aca="false">Model!BQ290</f>
        <v>-0</v>
      </c>
      <c r="BP33" s="254" t="n">
        <f aca="false">Model!BR290</f>
        <v>-0</v>
      </c>
      <c r="BQ33" s="254" t="n">
        <f aca="false">Model!BS290</f>
        <v>-0</v>
      </c>
      <c r="BR33" s="254" t="n">
        <f aca="false">Model!BT290</f>
        <v>-0</v>
      </c>
      <c r="BS33" s="254" t="n">
        <f aca="false">Model!BU290</f>
        <v>-0</v>
      </c>
      <c r="BT33" s="254" t="n">
        <f aca="false">Model!BV290</f>
        <v>-0</v>
      </c>
      <c r="BU33" s="254" t="n">
        <f aca="false">Model!BW290</f>
        <v>-0</v>
      </c>
      <c r="BV33" s="254" t="n">
        <f aca="false">Model!BX290</f>
        <v>-0</v>
      </c>
      <c r="BW33" s="254" t="n">
        <f aca="false">Model!BY290</f>
        <v>-0</v>
      </c>
      <c r="BX33" s="254" t="n">
        <f aca="false">Model!BZ290</f>
        <v>-0</v>
      </c>
      <c r="BY33" s="254" t="n">
        <f aca="false">Model!CA290</f>
        <v>-0</v>
      </c>
      <c r="BZ33" s="254" t="n">
        <f aca="false">Model!CB290</f>
        <v>-0</v>
      </c>
      <c r="CA33" s="254" t="n">
        <f aca="false">Model!CC290</f>
        <v>-0</v>
      </c>
      <c r="CB33" s="254" t="n">
        <f aca="false">Model!CD290</f>
        <v>-0</v>
      </c>
      <c r="CC33" s="254" t="n">
        <f aca="false">Model!CE290</f>
        <v>-0</v>
      </c>
      <c r="CD33" s="254" t="n">
        <f aca="false">Model!CF290</f>
        <v>-0</v>
      </c>
      <c r="CE33" s="254" t="n">
        <f aca="false">Model!CG290</f>
        <v>-0</v>
      </c>
      <c r="CF33" s="254" t="n">
        <f aca="false">Model!CH290</f>
        <v>-0</v>
      </c>
      <c r="CG33" s="254" t="n">
        <f aca="false">Model!CI290</f>
        <v>-0</v>
      </c>
      <c r="CH33" s="254" t="n">
        <f aca="false">Model!CJ290</f>
        <v>-0</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850</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0</v>
      </c>
    </row>
    <row r="36" customFormat="false" ht="15" hidden="false" customHeight="true" outlineLevel="0" collapsed="false">
      <c r="A36" s="2" t="s">
        <v>851</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849</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852</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-0</v>
      </c>
      <c r="BZ40" s="254" t="n">
        <f aca="false">Model!CB291</f>
        <v>-0</v>
      </c>
      <c r="CA40" s="254" t="n">
        <f aca="false">Model!CC291</f>
        <v>-0</v>
      </c>
      <c r="CB40" s="254" t="n">
        <f aca="false">Model!CD291</f>
        <v>-0</v>
      </c>
      <c r="CC40" s="254" t="n">
        <f aca="false">Model!CE291</f>
        <v>-0</v>
      </c>
      <c r="CD40" s="254" t="n">
        <f aca="false">Model!CF291</f>
        <v>-0</v>
      </c>
      <c r="CE40" s="254" t="n">
        <f aca="false">Model!CG291</f>
        <v>-0</v>
      </c>
      <c r="CF40" s="254" t="n">
        <f aca="false">Model!CH291</f>
        <v>-0</v>
      </c>
      <c r="CG40" s="254" t="n">
        <f aca="false">Model!CI291</f>
        <v>-0</v>
      </c>
      <c r="CH40" s="254" t="n">
        <f aca="false">Model!CJ291</f>
        <v>-0</v>
      </c>
    </row>
    <row r="41" customFormat="false" ht="15" hidden="false" customHeight="true" outlineLevel="0" collapsed="false">
      <c r="A41" s="250" t="s">
        <v>850</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0</v>
      </c>
      <c r="BZ41" s="251" t="n">
        <f aca="false">BZ39+BZ40</f>
        <v>0</v>
      </c>
      <c r="CA41" s="251" t="n">
        <f aca="false">CA39+CA40</f>
        <v>0</v>
      </c>
      <c r="CB41" s="251" t="n">
        <f aca="false">CB39+CB40</f>
        <v>0</v>
      </c>
      <c r="CC41" s="251" t="n">
        <f aca="false">CC39+CC40</f>
        <v>0</v>
      </c>
      <c r="CD41" s="251" t="n">
        <f aca="false">CD39+CD40</f>
        <v>0</v>
      </c>
      <c r="CE41" s="251" t="n">
        <f aca="false">CE39+CE40</f>
        <v>0</v>
      </c>
      <c r="CF41" s="251" t="n">
        <f aca="false">CF39+CF40</f>
        <v>0</v>
      </c>
      <c r="CG41" s="251" t="n">
        <f aca="false">CG39+CG40</f>
        <v>0</v>
      </c>
      <c r="CH41" s="251" t="n">
        <f aca="false">CH39+CH40</f>
        <v>0</v>
      </c>
    </row>
    <row r="42" customFormat="false" ht="15" hidden="false" customHeight="true" outlineLevel="0" collapsed="false">
      <c r="A42" s="2" t="s">
        <v>851</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0</v>
      </c>
      <c r="BZ42" s="252" t="n">
        <f aca="false">BY42+BZ41</f>
        <v>0</v>
      </c>
      <c r="CA42" s="252" t="n">
        <f aca="false">BZ42+CA41</f>
        <v>0</v>
      </c>
      <c r="CB42" s="252" t="n">
        <f aca="false">CA42+CB41</f>
        <v>0</v>
      </c>
      <c r="CC42" s="252" t="n">
        <f aca="false">CB42+CC41</f>
        <v>0</v>
      </c>
      <c r="CD42" s="252" t="n">
        <f aca="false">CC42+CD41</f>
        <v>0</v>
      </c>
      <c r="CE42" s="252" t="n">
        <f aca="false">CD42+CE41</f>
        <v>0</v>
      </c>
      <c r="CF42" s="252" t="n">
        <f aca="false">CE42+CF41</f>
        <v>0</v>
      </c>
      <c r="CG42" s="252" t="n">
        <f aca="false">CF42+CG41</f>
        <v>0</v>
      </c>
      <c r="CH42" s="252"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853</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854</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-108387.855263158</v>
      </c>
      <c r="M45" s="251" t="n">
        <f aca="false">M5+M10+M16+M22+M28+M35+M41</f>
        <v>-125548.960526316</v>
      </c>
      <c r="N45" s="251" t="n">
        <f aca="false">N5+N10+N16+N22+N28+N35+N41</f>
        <v>30222.0394736842</v>
      </c>
      <c r="O45" s="251" t="n">
        <f aca="false">O5+O10+O16+O22+O28+O35+O41</f>
        <v>30222.0394736842</v>
      </c>
      <c r="P45" s="251" t="n">
        <f aca="false">P5+P10+P16+P22+P28+P35+P41</f>
        <v>30222.0394736842</v>
      </c>
      <c r="Q45" s="251" t="n">
        <f aca="false">Q5+Q10+Q16+Q22+Q28+Q35+Q41</f>
        <v>30222.0394736842</v>
      </c>
      <c r="R45" s="251" t="n">
        <f aca="false">R5+R10+R16+R22+R28+R35+R41</f>
        <v>6315.78947368421</v>
      </c>
      <c r="S45" s="251" t="n">
        <f aca="false">S5+S10+S16+S22+S28+S35+S41</f>
        <v>6315.78947368421</v>
      </c>
      <c r="T45" s="251" t="n">
        <f aca="false">T5+T10+T16+T22+T28+T35+T41</f>
        <v>6315.78947368421</v>
      </c>
      <c r="U45" s="251" t="n">
        <f aca="false">U5+U10+U16+U22+U28+U35+U41</f>
        <v>6315.78947368421</v>
      </c>
      <c r="V45" s="251" t="n">
        <f aca="false">V5+V10+V16+V22+V28+V35+V41</f>
        <v>6315.78947368421</v>
      </c>
      <c r="W45" s="251" t="n">
        <f aca="false">W5+W10+W16+W22+W28+W35+W41</f>
        <v>63690.7894736842</v>
      </c>
      <c r="X45" s="251" t="n">
        <f aca="false">X5+X10+X16+X22+X28+X35+X41</f>
        <v>6315.78947368421</v>
      </c>
      <c r="Y45" s="251" t="n">
        <f aca="false">Y5+Y10+Y16+Y22+Y28+Y35+Y41</f>
        <v>6315.78947368421</v>
      </c>
      <c r="Z45" s="251" t="n">
        <f aca="false">Z5+Z10+Z16+Z22+Z28+Z35+Z41</f>
        <v>63690.7894736842</v>
      </c>
      <c r="AA45" s="251" t="n">
        <f aca="false">AA5+AA10+AA16+AA22+AA28+AA35+AA41</f>
        <v>6315.78947368421</v>
      </c>
      <c r="AB45" s="251" t="n">
        <f aca="false">AB5+AB10+AB16+AB22+AB28+AB35+AB41</f>
        <v>6315.78947368421</v>
      </c>
      <c r="AC45" s="251" t="n">
        <f aca="false">AC5+AC10+AC16+AC22+AC28+AC35+AC41</f>
        <v>63690.7894736842</v>
      </c>
      <c r="AD45" s="251" t="n">
        <f aca="false">AD5+AD10+AD16+AD22+AD28+AD35+AD41</f>
        <v>6315.78947368421</v>
      </c>
      <c r="AE45" s="251" t="n">
        <f aca="false">AE5+AE10+AE16+AE22+AE28+AE35+AE41</f>
        <v>3157.89473684211</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67762</v>
      </c>
      <c r="BZ45" s="251" t="n">
        <f aca="false">BZ5+BZ10+BZ16+BZ22+BZ28+BZ35+BZ41</f>
        <v>0</v>
      </c>
      <c r="CA45" s="251" t="n">
        <f aca="false">CA5+CA10+CA16+CA22+CA28+CA35+CA41</f>
        <v>0</v>
      </c>
      <c r="CB45" s="251" t="n">
        <f aca="false">CB5+CB10+CB16+CB22+CB28+CB35+CB41</f>
        <v>76499</v>
      </c>
      <c r="CC45" s="251" t="n">
        <f aca="false">CC5+CC10+CC16+CC22+CC28+CC35+CC41</f>
        <v>0</v>
      </c>
      <c r="CD45" s="251" t="n">
        <f aca="false">CD5+CD10+CD16+CD22+CD28+CD35+CD41</f>
        <v>0</v>
      </c>
      <c r="CE45" s="251" t="n">
        <f aca="false">CE5+CE10+CE16+CE22+CE28+CE35+CE41</f>
        <v>76499</v>
      </c>
      <c r="CF45" s="251" t="n">
        <f aca="false">CF5+CF10+CF16+CF22+CF28+CF35+CF41</f>
        <v>0</v>
      </c>
      <c r="CG45" s="251" t="n">
        <f aca="false">CG5+CG10+CG16+CG22+CG28+CG35+CG41</f>
        <v>0</v>
      </c>
      <c r="CH45" s="251" t="n">
        <f aca="false">CH5+CH10+CH16+CH22+CH28+CH35+CH41</f>
        <v>76499</v>
      </c>
    </row>
    <row r="46" customFormat="false" ht="15" hidden="false" customHeight="true" outlineLevel="0" collapsed="false">
      <c r="A46" s="2" t="s">
        <v>855</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299907.394736842</v>
      </c>
      <c r="M46" s="252" t="n">
        <f aca="false">L46+M45</f>
        <v>174358.434210526</v>
      </c>
      <c r="N46" s="252" t="n">
        <f aca="false">M46+N45</f>
        <v>204580.473684211</v>
      </c>
      <c r="O46" s="252" t="n">
        <f aca="false">N46+O45</f>
        <v>234802.513157895</v>
      </c>
      <c r="P46" s="252" t="n">
        <f aca="false">O46+P45</f>
        <v>265024.552631579</v>
      </c>
      <c r="Q46" s="252" t="n">
        <f aca="false">P46+Q45</f>
        <v>295246.592105263</v>
      </c>
      <c r="R46" s="252" t="n">
        <f aca="false">Q46+R45</f>
        <v>301562.381578947</v>
      </c>
      <c r="S46" s="252" t="n">
        <f aca="false">R46+S45</f>
        <v>307878.171052632</v>
      </c>
      <c r="T46" s="252" t="n">
        <f aca="false">S46+T45</f>
        <v>314193.960526316</v>
      </c>
      <c r="U46" s="252" t="n">
        <f aca="false">T46+U45</f>
        <v>320509.75</v>
      </c>
      <c r="V46" s="252" t="n">
        <f aca="false">U46+V45</f>
        <v>326825.539473684</v>
      </c>
      <c r="W46" s="252" t="n">
        <f aca="false">V46+W45</f>
        <v>390516.328947369</v>
      </c>
      <c r="X46" s="252" t="n">
        <f aca="false">W46+X45</f>
        <v>396832.118421053</v>
      </c>
      <c r="Y46" s="252" t="n">
        <f aca="false">X46+Y45</f>
        <v>403147.907894737</v>
      </c>
      <c r="Z46" s="252" t="n">
        <f aca="false">Y46+Z45</f>
        <v>466838.697368421</v>
      </c>
      <c r="AA46" s="252" t="n">
        <f aca="false">Z46+AA45</f>
        <v>473154.486842105</v>
      </c>
      <c r="AB46" s="252" t="n">
        <f aca="false">AA46+AB45</f>
        <v>479470.27631579</v>
      </c>
      <c r="AC46" s="252" t="n">
        <f aca="false">AB46+AC45</f>
        <v>543161.065789474</v>
      </c>
      <c r="AD46" s="252" t="n">
        <f aca="false">AC46+AD45</f>
        <v>549476.855263158</v>
      </c>
      <c r="AE46" s="252" t="n">
        <f aca="false">AD46+AE45</f>
        <v>552634.75</v>
      </c>
      <c r="AF46" s="252" t="n">
        <f aca="false">AE46+AF45</f>
        <v>552634.75</v>
      </c>
      <c r="AG46" s="252" t="n">
        <f aca="false">AF46+AG45</f>
        <v>552634.75</v>
      </c>
      <c r="AH46" s="252" t="n">
        <f aca="false">AG46+AH45</f>
        <v>552634.75</v>
      </c>
      <c r="AI46" s="252" t="n">
        <f aca="false">AH46+AI45</f>
        <v>552634.75</v>
      </c>
      <c r="AJ46" s="252" t="n">
        <f aca="false">AI46+AJ45</f>
        <v>552634.75</v>
      </c>
      <c r="AK46" s="252" t="n">
        <f aca="false">AJ46+AK45</f>
        <v>552634.75</v>
      </c>
      <c r="AL46" s="252" t="n">
        <f aca="false">AK46+AL45</f>
        <v>552634.75</v>
      </c>
      <c r="AM46" s="252" t="n">
        <f aca="false">AL46+AM45</f>
        <v>552634.75</v>
      </c>
      <c r="AN46" s="252" t="n">
        <f aca="false">AM46+AN45</f>
        <v>552634.75</v>
      </c>
      <c r="AO46" s="252" t="n">
        <f aca="false">AN46+AO45</f>
        <v>552634.75</v>
      </c>
      <c r="AP46" s="252" t="n">
        <f aca="false">AO46+AP45</f>
        <v>552634.75</v>
      </c>
      <c r="AQ46" s="252" t="n">
        <f aca="false">AP46+AQ45</f>
        <v>552634.75</v>
      </c>
      <c r="AR46" s="252" t="n">
        <f aca="false">AQ46+AR45</f>
        <v>552634.75</v>
      </c>
      <c r="AS46" s="252" t="n">
        <f aca="false">AR46+AS45</f>
        <v>552634.75</v>
      </c>
      <c r="AT46" s="252" t="n">
        <f aca="false">AS46+AT45</f>
        <v>552634.75</v>
      </c>
      <c r="AU46" s="252" t="n">
        <f aca="false">AT46+AU45</f>
        <v>552634.75</v>
      </c>
      <c r="AV46" s="252" t="n">
        <f aca="false">AU46+AV45</f>
        <v>552634.75</v>
      </c>
      <c r="AW46" s="252" t="n">
        <f aca="false">AV46+AW45</f>
        <v>552634.75</v>
      </c>
      <c r="AX46" s="252" t="n">
        <f aca="false">AW46+AX45</f>
        <v>552634.75</v>
      </c>
      <c r="AY46" s="252" t="n">
        <f aca="false">AX46+AY45</f>
        <v>552634.75</v>
      </c>
      <c r="AZ46" s="252" t="n">
        <f aca="false">AY46+AZ45</f>
        <v>552634.75</v>
      </c>
      <c r="BA46" s="252" t="n">
        <f aca="false">AZ46+BA45</f>
        <v>552634.75</v>
      </c>
      <c r="BB46" s="252" t="n">
        <f aca="false">BA46+BB45</f>
        <v>552634.75</v>
      </c>
      <c r="BC46" s="252" t="n">
        <f aca="false">BB46+BC45</f>
        <v>552634.75</v>
      </c>
      <c r="BD46" s="252" t="n">
        <f aca="false">BC46+BD45</f>
        <v>552634.75</v>
      </c>
      <c r="BE46" s="252" t="n">
        <f aca="false">BD46+BE45</f>
        <v>552634.75</v>
      </c>
      <c r="BF46" s="252" t="n">
        <f aca="false">BE46+BF45</f>
        <v>552634.75</v>
      </c>
      <c r="BG46" s="252" t="n">
        <f aca="false">BF46+BG45</f>
        <v>552634.75</v>
      </c>
      <c r="BH46" s="252" t="n">
        <f aca="false">BG46+BH45</f>
        <v>552634.75</v>
      </c>
      <c r="BI46" s="252" t="n">
        <f aca="false">BH46+BI45</f>
        <v>552634.75</v>
      </c>
      <c r="BJ46" s="252" t="n">
        <f aca="false">BI46+BJ45</f>
        <v>552634.75</v>
      </c>
      <c r="BK46" s="252" t="n">
        <f aca="false">BJ46+BK45</f>
        <v>552634.75</v>
      </c>
      <c r="BL46" s="252" t="n">
        <f aca="false">BK46+BL45</f>
        <v>552634.75</v>
      </c>
      <c r="BM46" s="252" t="n">
        <f aca="false">BL46+BM45</f>
        <v>552634.75</v>
      </c>
      <c r="BN46" s="252" t="n">
        <f aca="false">BM46+BN45</f>
        <v>552634.75</v>
      </c>
      <c r="BO46" s="252" t="n">
        <f aca="false">BN46+BO45</f>
        <v>552634.75</v>
      </c>
      <c r="BP46" s="252" t="n">
        <f aca="false">BO46+BP45</f>
        <v>605885.1</v>
      </c>
      <c r="BQ46" s="252" t="n">
        <f aca="false">BP46+BQ45</f>
        <v>605885.1</v>
      </c>
      <c r="BR46" s="252" t="n">
        <f aca="false">BQ46+BR45</f>
        <v>605885.1</v>
      </c>
      <c r="BS46" s="252" t="n">
        <f aca="false">BR46+BS45</f>
        <v>673647.1</v>
      </c>
      <c r="BT46" s="252" t="n">
        <f aca="false">BS46+BT45</f>
        <v>673647.1</v>
      </c>
      <c r="BU46" s="252" t="n">
        <f aca="false">BT46+BU45</f>
        <v>673647.1</v>
      </c>
      <c r="BV46" s="252" t="n">
        <f aca="false">BU46+BV45</f>
        <v>741409.1</v>
      </c>
      <c r="BW46" s="252" t="n">
        <f aca="false">BV46+BW45</f>
        <v>741409.1</v>
      </c>
      <c r="BX46" s="252" t="n">
        <f aca="false">BW46+BX45</f>
        <v>741409.1</v>
      </c>
      <c r="BY46" s="252" t="n">
        <f aca="false">BX46+BY45</f>
        <v>809171.1</v>
      </c>
      <c r="BZ46" s="252" t="n">
        <f aca="false">BY46+BZ45</f>
        <v>809171.1</v>
      </c>
      <c r="CA46" s="252" t="n">
        <f aca="false">BZ46+CA45</f>
        <v>809171.1</v>
      </c>
      <c r="CB46" s="252" t="n">
        <f aca="false">CA46+CB45</f>
        <v>885670.1</v>
      </c>
      <c r="CC46" s="252" t="n">
        <f aca="false">CB46+CC45</f>
        <v>885670.1</v>
      </c>
      <c r="CD46" s="252" t="n">
        <f aca="false">CC46+CD45</f>
        <v>885670.1</v>
      </c>
      <c r="CE46" s="252" t="n">
        <f aca="false">CD46+CE45</f>
        <v>962169.1</v>
      </c>
      <c r="CF46" s="252" t="n">
        <f aca="false">CE46+CF45</f>
        <v>962169.1</v>
      </c>
      <c r="CG46" s="252" t="n">
        <f aca="false">CF46+CG45</f>
        <v>962169.1</v>
      </c>
      <c r="CH46" s="252" t="n">
        <f aca="false">CG46+CH45</f>
        <v>1038668.1</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856</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857</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858</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859</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860</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861</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862</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863</v>
      </c>
      <c r="B55" s="256" t="s">
        <v>864</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865</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866</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867</v>
      </c>
      <c r="B3" s="4"/>
      <c r="C3" s="4"/>
      <c r="D3" s="4"/>
      <c r="E3" s="4"/>
      <c r="F3" s="4"/>
      <c r="G3" s="4"/>
      <c r="H3" s="3"/>
      <c r="I3" s="3"/>
    </row>
    <row r="4" customFormat="false" ht="15" hidden="false" customHeight="true" outlineLevel="0" collapsed="false">
      <c r="A4" s="23" t="s">
        <v>868</v>
      </c>
      <c r="B4" s="23" t="s">
        <v>869</v>
      </c>
      <c r="C4" s="23" t="s">
        <v>870</v>
      </c>
      <c r="D4" s="23" t="s">
        <v>871</v>
      </c>
      <c r="E4" s="23" t="s">
        <v>872</v>
      </c>
      <c r="F4" s="23" t="s">
        <v>873</v>
      </c>
      <c r="G4" s="23" t="s">
        <v>756</v>
      </c>
      <c r="H4" s="3"/>
      <c r="I4" s="3"/>
    </row>
    <row r="5" customFormat="false" ht="15" hidden="false" customHeight="true" outlineLevel="0" collapsed="false">
      <c r="A5" s="79" t="s">
        <v>874</v>
      </c>
      <c r="B5" s="258" t="n">
        <f aca="false">Assumptions!B4</f>
        <v>0.06</v>
      </c>
      <c r="C5" s="259" t="n">
        <v>0.06</v>
      </c>
      <c r="D5" s="260" t="n">
        <v>0.04</v>
      </c>
      <c r="E5" s="260" t="n">
        <v>0.08</v>
      </c>
      <c r="F5" s="79" t="s">
        <v>875</v>
      </c>
      <c r="G5" s="69" t="s">
        <v>876</v>
      </c>
      <c r="H5" s="3"/>
      <c r="I5" s="3"/>
    </row>
    <row r="6" customFormat="false" ht="15" hidden="false" customHeight="true" outlineLevel="0" collapsed="false">
      <c r="A6" s="79" t="s">
        <v>877</v>
      </c>
      <c r="B6" s="258" t="n">
        <f aca="false">Assumptions!B5</f>
        <v>0.06</v>
      </c>
      <c r="C6" s="259" t="n">
        <v>0.06</v>
      </c>
      <c r="D6" s="260" t="n">
        <v>0.04</v>
      </c>
      <c r="E6" s="260" t="n">
        <v>0.08</v>
      </c>
      <c r="F6" s="79" t="s">
        <v>875</v>
      </c>
      <c r="G6" s="69" t="s">
        <v>876</v>
      </c>
      <c r="H6" s="3"/>
      <c r="I6" s="3"/>
    </row>
    <row r="7" customFormat="false" ht="15" hidden="false" customHeight="true" outlineLevel="0" collapsed="false">
      <c r="A7" s="79" t="s">
        <v>878</v>
      </c>
      <c r="B7" s="258" t="n">
        <f aca="false">Assumptions!B6</f>
        <v>0.02</v>
      </c>
      <c r="C7" s="259" t="n">
        <v>0.02</v>
      </c>
      <c r="D7" s="260" t="n">
        <v>0.01</v>
      </c>
      <c r="E7" s="260" t="n">
        <v>0.03</v>
      </c>
      <c r="F7" s="79" t="s">
        <v>875</v>
      </c>
      <c r="G7" s="69" t="s">
        <v>879</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880</v>
      </c>
      <c r="B9" s="258" t="n">
        <f aca="false">Assumptions!B26</f>
        <v>0.02</v>
      </c>
      <c r="C9" s="259" t="n">
        <v>0.02</v>
      </c>
      <c r="D9" s="260" t="n">
        <v>0</v>
      </c>
      <c r="E9" s="260" t="n">
        <v>0.04</v>
      </c>
      <c r="F9" s="79" t="s">
        <v>875</v>
      </c>
      <c r="G9" s="69" t="s">
        <v>881</v>
      </c>
      <c r="H9" s="3"/>
      <c r="I9" s="3"/>
    </row>
    <row r="10" customFormat="false" ht="15" hidden="false" customHeight="true" outlineLevel="0" collapsed="false">
      <c r="A10" s="79" t="s">
        <v>882</v>
      </c>
      <c r="B10" s="258" t="n">
        <f aca="false">Assumptions!B15</f>
        <v>0.015</v>
      </c>
      <c r="C10" s="259" t="n">
        <v>0.015</v>
      </c>
      <c r="D10" s="260" t="n">
        <v>0.01</v>
      </c>
      <c r="E10" s="260" t="n">
        <v>0.02</v>
      </c>
      <c r="F10" s="79" t="s">
        <v>875</v>
      </c>
      <c r="G10" s="69" t="s">
        <v>883</v>
      </c>
      <c r="H10" s="3"/>
      <c r="I10" s="3"/>
    </row>
    <row r="11" customFormat="false" ht="15" hidden="false" customHeight="true" outlineLevel="0" collapsed="false">
      <c r="A11" s="79" t="s">
        <v>884</v>
      </c>
      <c r="B11" s="258" t="n">
        <f aca="false">Assumptions!B16</f>
        <v>0.0074</v>
      </c>
      <c r="C11" s="259" t="n">
        <v>0.0074</v>
      </c>
      <c r="D11" s="260" t="n">
        <v>0.005</v>
      </c>
      <c r="E11" s="260" t="n">
        <v>0.015</v>
      </c>
      <c r="F11" s="79" t="s">
        <v>875</v>
      </c>
      <c r="G11" s="69" t="s">
        <v>885</v>
      </c>
      <c r="H11" s="3"/>
      <c r="I11" s="3"/>
    </row>
    <row r="12" customFormat="false" ht="15" hidden="false" customHeight="true" outlineLevel="0" collapsed="false">
      <c r="A12" s="79" t="s">
        <v>886</v>
      </c>
      <c r="B12" s="258" t="n">
        <f aca="false">Assumptions!B17</f>
        <v>0.0325</v>
      </c>
      <c r="C12" s="259" t="n">
        <v>0.0325</v>
      </c>
      <c r="D12" s="260" t="n">
        <v>0.02</v>
      </c>
      <c r="E12" s="260" t="n">
        <v>0.05</v>
      </c>
      <c r="F12" s="79" t="s">
        <v>875</v>
      </c>
      <c r="G12" s="69" t="s">
        <v>887</v>
      </c>
      <c r="H12" s="3"/>
      <c r="I12" s="3"/>
    </row>
    <row r="13" customFormat="false" ht="15" hidden="false" customHeight="true" outlineLevel="0" collapsed="false">
      <c r="A13" s="79" t="s">
        <v>888</v>
      </c>
      <c r="B13" s="258" t="n">
        <f aca="false">Assumptions!B34</f>
        <v>0.15</v>
      </c>
      <c r="C13" s="259" t="n">
        <v>0.15</v>
      </c>
      <c r="D13" s="260" t="n">
        <v>0.1</v>
      </c>
      <c r="E13" s="260" t="n">
        <v>0.2</v>
      </c>
      <c r="F13" s="79" t="s">
        <v>875</v>
      </c>
      <c r="G13" s="69" t="s">
        <v>889</v>
      </c>
      <c r="H13" s="3"/>
      <c r="I13" s="3"/>
    </row>
    <row r="14" customFormat="false" ht="15" hidden="false" customHeight="true" outlineLevel="0" collapsed="false">
      <c r="A14" s="79" t="s">
        <v>890</v>
      </c>
      <c r="B14" s="249" t="n">
        <f aca="false">Assumptions!B36</f>
        <v>112000</v>
      </c>
      <c r="C14" s="261" t="n">
        <v>130000</v>
      </c>
      <c r="D14" s="262" t="n">
        <v>100000</v>
      </c>
      <c r="E14" s="262" t="n">
        <v>175000</v>
      </c>
      <c r="F14" s="79" t="s">
        <v>891</v>
      </c>
      <c r="G14" s="69" t="s">
        <v>892</v>
      </c>
      <c r="H14" s="3"/>
      <c r="I14" s="3"/>
    </row>
    <row r="15" customFormat="false" ht="15" hidden="false" customHeight="true" outlineLevel="0" collapsed="false">
      <c r="A15" s="79" t="s">
        <v>893</v>
      </c>
      <c r="B15" s="258" t="n">
        <f aca="false">Assumptions!B58</f>
        <v>0.15</v>
      </c>
      <c r="C15" s="259" t="n">
        <v>0.15</v>
      </c>
      <c r="D15" s="260" t="n">
        <v>0.1</v>
      </c>
      <c r="E15" s="260" t="n">
        <v>0.2</v>
      </c>
      <c r="F15" s="79" t="s">
        <v>875</v>
      </c>
      <c r="G15" s="69" t="s">
        <v>894</v>
      </c>
      <c r="H15" s="3"/>
      <c r="I15" s="3"/>
    </row>
    <row r="16" customFormat="false" ht="15" hidden="false" customHeight="true" outlineLevel="0" collapsed="false">
      <c r="A16" s="79" t="s">
        <v>895</v>
      </c>
      <c r="B16" s="258" t="n">
        <f aca="false">Assumptions!B47</f>
        <v>0.01</v>
      </c>
      <c r="C16" s="259" t="n">
        <v>0.01</v>
      </c>
      <c r="D16" s="260" t="n">
        <v>0.005</v>
      </c>
      <c r="E16" s="260" t="n">
        <v>0.02</v>
      </c>
      <c r="F16" s="79" t="s">
        <v>875</v>
      </c>
      <c r="G16" s="69" t="s">
        <v>896</v>
      </c>
      <c r="H16" s="3"/>
      <c r="I16" s="3"/>
    </row>
    <row r="17" customFormat="false" ht="15" hidden="false" customHeight="true" outlineLevel="0" collapsed="false">
      <c r="A17" s="79" t="s">
        <v>897</v>
      </c>
      <c r="B17" s="258" t="n">
        <f aca="false">Assumptions!B48</f>
        <v>0.03</v>
      </c>
      <c r="C17" s="259" t="n">
        <v>0.03</v>
      </c>
      <c r="D17" s="260" t="n">
        <v>0.02</v>
      </c>
      <c r="E17" s="260" t="n">
        <v>0.05</v>
      </c>
      <c r="F17" s="79" t="s">
        <v>875</v>
      </c>
      <c r="G17" s="69" t="s">
        <v>898</v>
      </c>
      <c r="H17" s="3"/>
      <c r="I17" s="3"/>
    </row>
    <row r="18" customFormat="false" ht="15" hidden="false" customHeight="true" outlineLevel="0" collapsed="false">
      <c r="A18" s="79" t="s">
        <v>899</v>
      </c>
      <c r="B18" s="263" t="n">
        <v>10</v>
      </c>
      <c r="C18" s="264" t="n">
        <v>10</v>
      </c>
      <c r="D18" s="265" t="n">
        <v>5</v>
      </c>
      <c r="E18" s="265" t="n">
        <v>15</v>
      </c>
      <c r="F18" s="79" t="s">
        <v>900</v>
      </c>
      <c r="G18" s="69" t="s">
        <v>901</v>
      </c>
      <c r="H18" s="3"/>
      <c r="I18" s="3"/>
    </row>
    <row r="19" customFormat="false" ht="15" hidden="false" customHeight="true" outlineLevel="0" collapsed="false">
      <c r="A19" s="79" t="s">
        <v>902</v>
      </c>
      <c r="B19" s="266" t="n">
        <v>18700</v>
      </c>
      <c r="C19" s="261" t="n">
        <v>18700</v>
      </c>
      <c r="D19" s="262" t="n">
        <v>15000</v>
      </c>
      <c r="E19" s="262" t="n">
        <v>25000</v>
      </c>
      <c r="F19" s="79" t="s">
        <v>891</v>
      </c>
      <c r="G19" s="69" t="s">
        <v>903</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904</v>
      </c>
      <c r="B22" s="4"/>
      <c r="C22" s="4"/>
      <c r="D22" s="4"/>
      <c r="E22" s="4"/>
      <c r="F22" s="4"/>
      <c r="G22" s="4"/>
      <c r="H22" s="3"/>
      <c r="I22" s="3"/>
    </row>
    <row r="23" customFormat="false" ht="15" hidden="false" customHeight="true" outlineLevel="0" collapsed="false">
      <c r="A23" s="23" t="s">
        <v>550</v>
      </c>
      <c r="B23" s="23" t="s">
        <v>556</v>
      </c>
      <c r="C23" s="23" t="s">
        <v>905</v>
      </c>
      <c r="D23" s="23" t="s">
        <v>561</v>
      </c>
      <c r="E23" s="23" t="s">
        <v>553</v>
      </c>
      <c r="F23" s="23" t="s">
        <v>906</v>
      </c>
      <c r="G23" s="23" t="s">
        <v>560</v>
      </c>
      <c r="H23" s="3"/>
      <c r="I23" s="3"/>
    </row>
    <row r="24" customFormat="false" ht="15" hidden="false" customHeight="true" outlineLevel="0" collapsed="false">
      <c r="A24" s="79" t="s">
        <v>7</v>
      </c>
      <c r="B24" s="267" t="str">
        <f aca="false">Projects!$G$2</f>
        <v>Yes</v>
      </c>
      <c r="C24" s="266" t="n">
        <v>5321971</v>
      </c>
      <c r="D24" s="79" t="s">
        <v>907</v>
      </c>
      <c r="E24" s="79" t="s">
        <v>908</v>
      </c>
      <c r="F24" s="79" t="s">
        <v>571</v>
      </c>
      <c r="G24" s="79" t="s">
        <v>571</v>
      </c>
      <c r="H24" s="3"/>
      <c r="I24" s="3"/>
    </row>
    <row r="25" customFormat="false" ht="15" hidden="false" customHeight="true" outlineLevel="0" collapsed="false">
      <c r="A25" s="79" t="s">
        <v>8</v>
      </c>
      <c r="B25" s="267" t="str">
        <f aca="false">Projects!$G$3</f>
        <v>Yes</v>
      </c>
      <c r="C25" s="266" t="n">
        <v>19982132</v>
      </c>
      <c r="D25" s="79" t="s">
        <v>907</v>
      </c>
      <c r="E25" s="79" t="s">
        <v>909</v>
      </c>
      <c r="F25" s="79" t="s">
        <v>571</v>
      </c>
      <c r="G25" s="79" t="s">
        <v>571</v>
      </c>
      <c r="H25" s="3"/>
      <c r="I25" s="3"/>
    </row>
    <row r="26" customFormat="false" ht="15" hidden="false" customHeight="true" outlineLevel="0" collapsed="false">
      <c r="A26" s="79" t="s">
        <v>9</v>
      </c>
      <c r="B26" s="267" t="str">
        <f aca="false">Projects!$G$4</f>
        <v>Yes</v>
      </c>
      <c r="C26" s="266" t="n">
        <v>11673185</v>
      </c>
      <c r="D26" s="79" t="s">
        <v>910</v>
      </c>
      <c r="E26" s="79" t="s">
        <v>911</v>
      </c>
      <c r="F26" s="79" t="s">
        <v>571</v>
      </c>
      <c r="G26" s="79" t="s">
        <v>572</v>
      </c>
      <c r="H26" s="3"/>
      <c r="I26" s="3"/>
    </row>
    <row r="27" customFormat="false" ht="15" hidden="false" customHeight="true" outlineLevel="0" collapsed="false">
      <c r="A27" s="79" t="s">
        <v>10</v>
      </c>
      <c r="B27" s="267" t="str">
        <f aca="false">Projects!$G$5</f>
        <v>Yes</v>
      </c>
      <c r="C27" s="266" t="n">
        <v>13492534</v>
      </c>
      <c r="D27" s="79" t="s">
        <v>910</v>
      </c>
      <c r="E27" s="79" t="s">
        <v>911</v>
      </c>
      <c r="F27" s="79" t="s">
        <v>571</v>
      </c>
      <c r="G27" s="79" t="s">
        <v>572</v>
      </c>
      <c r="H27" s="3"/>
      <c r="I27" s="3"/>
    </row>
    <row r="28" customFormat="false" ht="15" hidden="false" customHeight="true" outlineLevel="0" collapsed="false">
      <c r="A28" s="79" t="s">
        <v>11</v>
      </c>
      <c r="B28" s="267" t="str">
        <f aca="false">Projects!$G$6</f>
        <v>Yes</v>
      </c>
      <c r="C28" s="266" t="n">
        <v>4052747</v>
      </c>
      <c r="D28" s="79" t="s">
        <v>910</v>
      </c>
      <c r="E28" s="79" t="s">
        <v>912</v>
      </c>
      <c r="F28" s="79" t="s">
        <v>571</v>
      </c>
      <c r="G28" s="79" t="s">
        <v>572</v>
      </c>
      <c r="H28" s="3"/>
      <c r="I28" s="3"/>
    </row>
    <row r="29" customFormat="false" ht="15" hidden="false" customHeight="true" outlineLevel="0" collapsed="false">
      <c r="A29" s="79" t="s">
        <v>12</v>
      </c>
      <c r="B29" s="267" t="str">
        <f aca="false">Projects!$G$7</f>
        <v>Yes</v>
      </c>
      <c r="C29" s="266" t="n">
        <v>42794765</v>
      </c>
      <c r="D29" s="79" t="s">
        <v>907</v>
      </c>
      <c r="E29" s="79" t="s">
        <v>913</v>
      </c>
      <c r="F29" s="79" t="s">
        <v>572</v>
      </c>
      <c r="G29" s="79" t="s">
        <v>572</v>
      </c>
      <c r="H29" s="3"/>
      <c r="I29" s="3"/>
    </row>
    <row r="30" customFormat="false" ht="15" hidden="false" customHeight="true" outlineLevel="0" collapsed="false">
      <c r="A30" s="79" t="s">
        <v>13</v>
      </c>
      <c r="B30" s="267" t="str">
        <f aca="false">Projects!$G$8</f>
        <v>Yes</v>
      </c>
      <c r="C30" s="266" t="n">
        <v>12993776.05</v>
      </c>
      <c r="D30" s="79" t="s">
        <v>910</v>
      </c>
      <c r="E30" s="79" t="s">
        <v>912</v>
      </c>
      <c r="F30" s="79" t="s">
        <v>571</v>
      </c>
      <c r="G30" s="79" t="s">
        <v>572</v>
      </c>
      <c r="H30" s="3"/>
      <c r="I30" s="3"/>
    </row>
    <row r="31" customFormat="false" ht="15" hidden="false" customHeight="true" outlineLevel="0" collapsed="false">
      <c r="A31" s="79" t="s">
        <v>14</v>
      </c>
      <c r="B31" s="267" t="str">
        <f aca="false">Projects!$G$9</f>
        <v>Yes</v>
      </c>
      <c r="C31" s="266" t="n">
        <v>14337010.8</v>
      </c>
      <c r="D31" s="79" t="s">
        <v>910</v>
      </c>
      <c r="E31" s="79" t="s">
        <v>914</v>
      </c>
      <c r="F31" s="79" t="s">
        <v>571</v>
      </c>
      <c r="G31" s="79" t="s">
        <v>572</v>
      </c>
      <c r="H31" s="3"/>
      <c r="I31" s="3"/>
    </row>
    <row r="32" customFormat="false" ht="15" hidden="false" customHeight="true" outlineLevel="0" collapsed="false">
      <c r="A32" s="79" t="s">
        <v>15</v>
      </c>
      <c r="B32" s="267" t="str">
        <f aca="false">Projects!$G$10</f>
        <v>Yes</v>
      </c>
      <c r="C32" s="266" t="n">
        <v>21263405</v>
      </c>
      <c r="D32" s="79" t="s">
        <v>910</v>
      </c>
      <c r="E32" s="79" t="s">
        <v>912</v>
      </c>
      <c r="F32" s="79" t="s">
        <v>571</v>
      </c>
      <c r="G32" s="79" t="s">
        <v>572</v>
      </c>
      <c r="H32" s="3"/>
      <c r="I32" s="3"/>
    </row>
    <row r="33" customFormat="false" ht="15" hidden="false" customHeight="true" outlineLevel="0" collapsed="false">
      <c r="A33" s="79" t="s">
        <v>16</v>
      </c>
      <c r="B33" s="267" t="str">
        <f aca="false">Projects!$G$11</f>
        <v>Yes</v>
      </c>
      <c r="C33" s="266" t="n">
        <v>9577109</v>
      </c>
      <c r="D33" s="79" t="s">
        <v>907</v>
      </c>
      <c r="E33" s="79" t="s">
        <v>912</v>
      </c>
      <c r="F33" s="79" t="s">
        <v>572</v>
      </c>
      <c r="G33" s="79" t="s">
        <v>571</v>
      </c>
      <c r="H33" s="3"/>
      <c r="I33" s="3"/>
    </row>
    <row r="34" customFormat="false" ht="15" hidden="false" customHeight="true" outlineLevel="0" collapsed="false">
      <c r="A34" s="79" t="s">
        <v>17</v>
      </c>
      <c r="B34" s="267" t="str">
        <f aca="false">Projects!$G$12</f>
        <v>Yes</v>
      </c>
      <c r="C34" s="266" t="n">
        <v>7545203</v>
      </c>
      <c r="D34" s="79" t="s">
        <v>907</v>
      </c>
      <c r="E34" s="79" t="s">
        <v>912</v>
      </c>
      <c r="F34" s="79" t="s">
        <v>572</v>
      </c>
      <c r="G34" s="79" t="s">
        <v>571</v>
      </c>
      <c r="H34" s="3"/>
      <c r="I34" s="3"/>
    </row>
    <row r="35" customFormat="false" ht="15" hidden="false" customHeight="true" outlineLevel="0" collapsed="false">
      <c r="A35" s="79" t="s">
        <v>18</v>
      </c>
      <c r="B35" s="267" t="str">
        <f aca="false">Projects!$G$13</f>
        <v>No</v>
      </c>
      <c r="C35" s="266" t="n">
        <v>45266770</v>
      </c>
      <c r="D35" s="79" t="s">
        <v>907</v>
      </c>
      <c r="E35" s="79" t="s">
        <v>914</v>
      </c>
      <c r="F35" s="79" t="s">
        <v>572</v>
      </c>
      <c r="G35" s="79" t="s">
        <v>572</v>
      </c>
      <c r="H35" s="3"/>
      <c r="I35" s="3"/>
    </row>
    <row r="36" customFormat="false" ht="15" hidden="false" customHeight="true" outlineLevel="0" collapsed="false">
      <c r="A36" s="79" t="s">
        <v>19</v>
      </c>
      <c r="B36" s="267" t="str">
        <f aca="false">Projects!$G$14</f>
        <v>No</v>
      </c>
      <c r="C36" s="266" t="n">
        <v>41354632</v>
      </c>
      <c r="D36" s="79" t="s">
        <v>907</v>
      </c>
      <c r="E36" s="79" t="s">
        <v>914</v>
      </c>
      <c r="F36" s="79" t="s">
        <v>572</v>
      </c>
      <c r="G36" s="79" t="s">
        <v>572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915</v>
      </c>
      <c r="B39" s="4"/>
      <c r="C39" s="4"/>
      <c r="D39" s="4"/>
      <c r="E39" s="4"/>
      <c r="F39" s="4"/>
      <c r="G39" s="4"/>
      <c r="H39" s="4"/>
      <c r="I39" s="4"/>
    </row>
    <row r="40" customFormat="false" ht="15" hidden="false" customHeight="true" outlineLevel="0" collapsed="false">
      <c r="A40" s="23" t="s">
        <v>916</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917</v>
      </c>
      <c r="B41" s="251" t="n">
        <f aca="false">'Annual Summary'!B7</f>
        <v>56964925.6938817</v>
      </c>
      <c r="C41" s="251" t="n">
        <f aca="false">'Annual Summary'!C7</f>
        <v>87686847.7394643</v>
      </c>
      <c r="D41" s="251" t="n">
        <f aca="false">'Annual Summary'!D7</f>
        <v>43083904.1889082</v>
      </c>
      <c r="E41" s="251" t="n">
        <f aca="false">'Annual Summary'!E7</f>
        <v>2629246.35</v>
      </c>
      <c r="F41" s="251" t="n">
        <f aca="false">'Annual Summary'!F7</f>
        <v>0</v>
      </c>
      <c r="G41" s="251" t="n">
        <f aca="false">'Annual Summary'!G7</f>
        <v>0</v>
      </c>
      <c r="H41" s="251" t="n">
        <f aca="false">'Annual Summary'!H7</f>
        <v>0</v>
      </c>
      <c r="I41" s="251" t="n">
        <f aca="false">'Annual Summary'!I7</f>
        <v>0</v>
      </c>
    </row>
    <row r="42" customFormat="false" ht="15" hidden="false" customHeight="true" outlineLevel="0" collapsed="false">
      <c r="A42" s="42" t="s">
        <v>98</v>
      </c>
      <c r="B42" s="269" t="n">
        <f aca="false">'Annual Summary'!B22</f>
        <v>2163919.66254232</v>
      </c>
      <c r="C42" s="269" t="n">
        <f aca="false">'Annual Summary'!C22</f>
        <v>3346246.18551397</v>
      </c>
      <c r="D42" s="269" t="n">
        <f aca="false">'Annual Summary'!D22</f>
        <v>1045331.54731717</v>
      </c>
      <c r="E42" s="269" t="n">
        <f aca="false">'Annual Summary'!E22</f>
        <v>-4498245.18221732</v>
      </c>
      <c r="F42" s="269" t="n">
        <f aca="false">'Annual Summary'!F22</f>
        <v>-4919575.59886167</v>
      </c>
      <c r="G42" s="269" t="n">
        <f aca="false">'Annual Summary'!G22</f>
        <v>-5017967.1108389</v>
      </c>
      <c r="H42" s="269" t="n">
        <f aca="false">'Annual Summary'!H22</f>
        <v>-5118326.45305568</v>
      </c>
      <c r="I42" s="269" t="n">
        <f aca="false">'Annual Summary'!I22</f>
        <v>-5220692.98211679</v>
      </c>
    </row>
    <row r="43" customFormat="false" ht="15" hidden="false" customHeight="true" outlineLevel="0" collapsed="false">
      <c r="A43" s="79" t="s">
        <v>918</v>
      </c>
      <c r="B43" s="258" t="n">
        <f aca="false">'Annual Summary'!B23</f>
        <v>0.0379868776476739</v>
      </c>
      <c r="C43" s="258" t="n">
        <f aca="false">'Annual Summary'!C23</f>
        <v>0.0381613237535503</v>
      </c>
      <c r="D43" s="258" t="n">
        <f aca="false">'Annual Summary'!D23</f>
        <v>0.0242626931564454</v>
      </c>
      <c r="E43" s="258" t="n">
        <f aca="false">'Annual Summary'!E23</f>
        <v>-1.71084964412609</v>
      </c>
      <c r="F43" s="258" t="n">
        <f aca="false">'Annual Summary'!F23</f>
        <v>0</v>
      </c>
      <c r="G43" s="258" t="n">
        <f aca="false">'Annual Summary'!G23</f>
        <v>0</v>
      </c>
      <c r="H43" s="258" t="n">
        <f aca="false">'Annual Summary'!H23</f>
        <v>0</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481498.936090226</v>
      </c>
      <c r="D45" s="251" t="n">
        <f aca="false">'Annual Summary'!D25</f>
        <v>247618.421052632</v>
      </c>
      <c r="E45" s="251" t="n">
        <f aca="false">'Annual Summary'!E25</f>
        <v>163365</v>
      </c>
      <c r="F45" s="251" t="n">
        <f aca="false">'Annual Summary'!F25</f>
        <v>281718</v>
      </c>
      <c r="G45" s="251" t="n">
        <f aca="false">'Annual Summary'!G25</f>
        <v>253877</v>
      </c>
      <c r="H45" s="251" t="n">
        <f aca="false">'Annual Summary'!H25</f>
        <v>288522</v>
      </c>
      <c r="I45" s="251" t="n">
        <f aca="false">'Annual Summary'!I25</f>
        <v>764990</v>
      </c>
    </row>
    <row r="46" customFormat="false" ht="15" hidden="false" customHeight="true" outlineLevel="0" collapsed="false">
      <c r="A46" s="42" t="s">
        <v>138</v>
      </c>
      <c r="B46" s="269" t="n">
        <f aca="false">'Annual Summary'!B27</f>
        <v>-1754300.95333333</v>
      </c>
      <c r="C46" s="269" t="n">
        <f aca="false">'Annual Summary'!C27</f>
        <v>-1766225.56790977</v>
      </c>
      <c r="D46" s="269" t="n">
        <f aca="false">'Annual Summary'!D27</f>
        <v>-2043860.57302737</v>
      </c>
      <c r="E46" s="269" t="n">
        <f aca="false">'Annual Summary'!E27</f>
        <v>-2336108.5739616</v>
      </c>
      <c r="F46" s="269" t="n">
        <f aca="false">'Annual Summary'!F27</f>
        <v>-2381630.74544083</v>
      </c>
      <c r="G46" s="269" t="n">
        <f aca="false">'Annual Summary'!G27</f>
        <v>-2307051.01034965</v>
      </c>
      <c r="H46" s="269" t="n">
        <f aca="false">'Annual Summary'!H27</f>
        <v>-2186902.62755664</v>
      </c>
      <c r="I46" s="269" t="n">
        <f aca="false">'Annual Summary'!I27</f>
        <v>-1758743.12010777</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1580020.61760419</v>
      </c>
      <c r="D48" s="269" t="n">
        <f aca="false">'Annual Summary'!D29</f>
        <v>-998529.025710197</v>
      </c>
      <c r="E48" s="269" t="n">
        <f aca="false">'Annual Summary'!E29</f>
        <v>-6834353.75617892</v>
      </c>
      <c r="F48" s="269" t="n">
        <f aca="false">'Annual Summary'!F29</f>
        <v>-7301206.3443025</v>
      </c>
      <c r="G48" s="269" t="n">
        <f aca="false">'Annual Summary'!G29</f>
        <v>-7325018.12118855</v>
      </c>
      <c r="H48" s="269" t="n">
        <f aca="false">'Annual Summary'!H29</f>
        <v>-7305229.08061232</v>
      </c>
      <c r="I48" s="269" t="n">
        <f aca="false">'Annual Summary'!I29</f>
        <v>-6979436.10222457</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919</v>
      </c>
      <c r="B50" s="271" t="n">
        <f aca="false">'Annual Summary'!B51</f>
        <v>2229655.31378602</v>
      </c>
      <c r="C50" s="271" t="n">
        <f aca="false">'Annual Summary'!C51</f>
        <v>1107158.74001327</v>
      </c>
      <c r="D50" s="271" t="n">
        <f aca="false">'Annual Summary'!D51</f>
        <v>-46374.7784224683</v>
      </c>
      <c r="E50" s="271" t="n">
        <f aca="false">'Annual Summary'!E51</f>
        <v>-6517381.23610138</v>
      </c>
      <c r="F50" s="271" t="n">
        <f aca="false">'Annual Summary'!F51</f>
        <v>-13818587.5804039</v>
      </c>
      <c r="G50" s="271" t="n">
        <f aca="false">'Annual Summary'!G51</f>
        <v>-21143605.7015924</v>
      </c>
      <c r="H50" s="271" t="n">
        <f aca="false">'Annual Summary'!H51</f>
        <v>-28448834.7822048</v>
      </c>
      <c r="I50" s="271" t="n">
        <f aca="false">'Annual Summary'!I51</f>
        <v>-35428270.8844293</v>
      </c>
    </row>
    <row r="51" customFormat="false" ht="15" hidden="false" customHeight="true" outlineLevel="0" collapsed="false">
      <c r="A51" s="270" t="s">
        <v>188</v>
      </c>
      <c r="B51" s="271" t="n">
        <f aca="false">'Annual Summary'!B48</f>
        <v>2168054.84711936</v>
      </c>
      <c r="C51" s="271" t="n">
        <f aca="false">'Annual Summary'!C48</f>
        <v>4155783.84125638</v>
      </c>
      <c r="D51" s="271" t="n">
        <f aca="false">'Annual Summary'!D48</f>
        <v>5948092.3261266</v>
      </c>
      <c r="E51" s="271" t="n">
        <f aca="false">'Annual Summary'!E48</f>
        <v>1813194.44240929</v>
      </c>
      <c r="F51" s="271" t="n">
        <f aca="false">'Annual Summary'!F48</f>
        <v>-3106381.15645238</v>
      </c>
      <c r="G51" s="271" t="n">
        <f aca="false">'Annual Summary'!G48</f>
        <v>-8124348.26729128</v>
      </c>
      <c r="H51" s="271" t="n">
        <f aca="false">'Annual Summary'!H48</f>
        <v>-13242674.720347</v>
      </c>
      <c r="I51" s="271" t="n">
        <f aca="false">'Annual Summary'!I48</f>
        <v>-18463367.7024637</v>
      </c>
    </row>
    <row r="52" customFormat="false" ht="15" hidden="false" customHeight="true" outlineLevel="0" collapsed="false">
      <c r="A52" s="270" t="s">
        <v>195</v>
      </c>
      <c r="B52" s="271" t="n">
        <f aca="false">'Annual Summary'!B49</f>
        <v>61600.4666666667</v>
      </c>
      <c r="C52" s="271" t="n">
        <f aca="false">'Annual Summary'!C49</f>
        <v>-3048625.10124311</v>
      </c>
      <c r="D52" s="271" t="n">
        <f aca="false">'Annual Summary'!D49</f>
        <v>-5994467.10454907</v>
      </c>
      <c r="E52" s="271" t="n">
        <f aca="false">'Annual Summary'!E49</f>
        <v>-8330575.67851067</v>
      </c>
      <c r="F52" s="271" t="n">
        <f aca="false">'Annual Summary'!F49</f>
        <v>-10712206.4239515</v>
      </c>
      <c r="G52" s="271" t="n">
        <f aca="false">'Annual Summary'!G49</f>
        <v>-13019257.4343012</v>
      </c>
      <c r="H52" s="271" t="n">
        <f aca="false">'Annual Summary'!H49</f>
        <v>-15206160.0618578</v>
      </c>
      <c r="I52" s="271" t="n">
        <f aca="false">'Annual Summary'!I49</f>
        <v>-16964903.1819656</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36328367.21002</v>
      </c>
      <c r="D54" s="249" t="n">
        <f aca="false">'Annual Summary'!D46</f>
        <v>2700888.54</v>
      </c>
      <c r="E54" s="249" t="n">
        <f aca="false">'Annual Summary'!E46</f>
        <v>0</v>
      </c>
      <c r="F54" s="249" t="n">
        <f aca="false">'Annual Summary'!F46</f>
        <v>0</v>
      </c>
      <c r="G54" s="249" t="n">
        <f aca="false">'Annual Summary'!G46</f>
        <v>0</v>
      </c>
      <c r="H54" s="249" t="n">
        <f aca="false">'Annual Summary'!H46</f>
        <v>0</v>
      </c>
      <c r="I54" s="249" t="n">
        <f aca="false">'Annual Summary'!I46</f>
        <v>0</v>
      </c>
    </row>
    <row r="55" customFormat="false" ht="15" hidden="false" customHeight="true" outlineLevel="0" collapsed="false">
      <c r="A55" s="79" t="s">
        <v>920</v>
      </c>
      <c r="B55" s="249" t="n">
        <f aca="false">'Annual Summary'!B44</f>
        <v>0</v>
      </c>
      <c r="C55" s="249" t="n">
        <f aca="false">'Annual Summary'!C44</f>
        <v>0</v>
      </c>
      <c r="D55" s="249" t="n">
        <f aca="false">'Annual Summary'!D44</f>
        <v>0</v>
      </c>
      <c r="E55" s="249" t="n">
        <f aca="false">'Annual Summary'!E44</f>
        <v>0</v>
      </c>
      <c r="F55" s="249" t="n">
        <f aca="false">'Annual Summary'!F44</f>
        <v>0</v>
      </c>
      <c r="G55" s="249" t="n">
        <f aca="false">'Annual Summary'!G44</f>
        <v>0</v>
      </c>
      <c r="H55" s="249" t="n">
        <f aca="false">'Annual Summary'!H44</f>
        <v>0</v>
      </c>
      <c r="I55" s="249" t="n">
        <f aca="false">'Annual Summary'!I44</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921</v>
      </c>
      <c r="B58" s="4"/>
      <c r="C58" s="4"/>
      <c r="D58" s="4"/>
      <c r="E58" s="4"/>
      <c r="F58" s="4"/>
      <c r="G58" s="4"/>
      <c r="H58" s="3"/>
      <c r="I58" s="3"/>
    </row>
    <row r="59" customFormat="false" ht="15" hidden="false" customHeight="true" outlineLevel="0" collapsed="false">
      <c r="A59" s="69" t="s">
        <v>922</v>
      </c>
      <c r="B59" s="3"/>
      <c r="C59" s="3"/>
      <c r="D59" s="3"/>
      <c r="E59" s="3"/>
      <c r="F59" s="3"/>
      <c r="G59" s="3"/>
      <c r="H59" s="3"/>
      <c r="I59" s="3"/>
    </row>
    <row r="60" customFormat="false" ht="15" hidden="false" customHeight="true" outlineLevel="0" collapsed="false">
      <c r="A60" s="272" t="s">
        <v>923</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924</v>
      </c>
      <c r="B68" s="4"/>
      <c r="C68" s="4"/>
      <c r="D68" s="4"/>
      <c r="E68" s="4"/>
      <c r="F68" s="4"/>
      <c r="G68" s="3"/>
      <c r="H68" s="3"/>
      <c r="I68" s="3"/>
    </row>
    <row r="69" customFormat="false" ht="15" hidden="false" customHeight="true" outlineLevel="0" collapsed="false">
      <c r="A69" s="23" t="s">
        <v>925</v>
      </c>
      <c r="B69" s="23" t="s">
        <v>926</v>
      </c>
      <c r="C69" s="23" t="s">
        <v>927</v>
      </c>
      <c r="D69" s="23" t="s">
        <v>928</v>
      </c>
      <c r="E69" s="23" t="s">
        <v>929</v>
      </c>
      <c r="F69" s="23" t="s">
        <v>930</v>
      </c>
      <c r="G69" s="3"/>
      <c r="H69" s="3"/>
      <c r="I69" s="3"/>
    </row>
    <row r="70" customFormat="false" ht="15" hidden="false" customHeight="true" outlineLevel="0" collapsed="false">
      <c r="A70" s="79" t="s">
        <v>931</v>
      </c>
      <c r="B70" s="266" t="n">
        <f aca="false">'Annual Summary'!B48</f>
        <v>2168054.84711936</v>
      </c>
      <c r="C70" s="262" t="n">
        <f aca="false">'Annual Summary'!C48</f>
        <v>4155783.84125638</v>
      </c>
      <c r="D70" s="262" t="n">
        <f aca="false">'Annual Summary'!E48</f>
        <v>1813194.44240929</v>
      </c>
      <c r="E70" s="262" t="n">
        <f aca="false">'Annual Summary'!G48</f>
        <v>-8124348.26729128</v>
      </c>
      <c r="F70" s="262" t="n">
        <f aca="false">'Annual Summary'!I48</f>
        <v>-18463367.7024637</v>
      </c>
      <c r="G70" s="3"/>
      <c r="H70" s="3"/>
      <c r="I70" s="3"/>
    </row>
    <row r="71" customFormat="false" ht="15" hidden="false" customHeight="true" outlineLevel="0" collapsed="false">
      <c r="A71" s="79" t="s">
        <v>932</v>
      </c>
      <c r="B71" s="266" t="n">
        <f aca="false">'Annual Summary'!B49</f>
        <v>61600.4666666667</v>
      </c>
      <c r="C71" s="262" t="n">
        <f aca="false">'Annual Summary'!C49</f>
        <v>-3048625.10124311</v>
      </c>
      <c r="D71" s="262" t="n">
        <f aca="false">'Annual Summary'!E49</f>
        <v>-8330575.67851067</v>
      </c>
      <c r="E71" s="262" t="n">
        <f aca="false">'Annual Summary'!G49</f>
        <v>-13019257.4343012</v>
      </c>
      <c r="F71" s="262" t="n">
        <f aca="false">'Annual Summary'!I49</f>
        <v>-16964903.1819656</v>
      </c>
      <c r="G71" s="3"/>
      <c r="H71" s="3"/>
      <c r="I71" s="3"/>
    </row>
    <row r="72" customFormat="false" ht="15" hidden="false" customHeight="true" outlineLevel="0" collapsed="false">
      <c r="A72" s="270" t="s">
        <v>933</v>
      </c>
      <c r="B72" s="276" t="n">
        <f aca="false">'Annual Summary'!B51</f>
        <v>2229655.31378602</v>
      </c>
      <c r="C72" s="277" t="n">
        <f aca="false">'Annual Summary'!C51</f>
        <v>1107158.74001327</v>
      </c>
      <c r="D72" s="277" t="n">
        <f aca="false">'Annual Summary'!E51</f>
        <v>-6517381.23610138</v>
      </c>
      <c r="E72" s="277" t="n">
        <f aca="false">'Annual Summary'!G51</f>
        <v>-21143605.7015924</v>
      </c>
      <c r="F72" s="277" t="n">
        <f aca="false">'Annual Summary'!I51</f>
        <v>-35428270.8844293</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934</v>
      </c>
      <c r="B75" s="4"/>
      <c r="C75" s="4"/>
      <c r="D75" s="4"/>
      <c r="E75" s="4"/>
      <c r="F75" s="4"/>
      <c r="G75" s="3"/>
      <c r="H75" s="3"/>
      <c r="I75" s="3"/>
    </row>
    <row r="76" customFormat="false" ht="15" hidden="false" customHeight="true" outlineLevel="0" collapsed="false">
      <c r="A76" s="23" t="s">
        <v>550</v>
      </c>
      <c r="B76" s="23" t="s">
        <v>935</v>
      </c>
      <c r="C76" s="23" t="s">
        <v>936</v>
      </c>
      <c r="D76" s="23" t="s">
        <v>937</v>
      </c>
      <c r="E76" s="23" t="s">
        <v>938</v>
      </c>
      <c r="F76" s="23" t="s">
        <v>939</v>
      </c>
      <c r="G76" s="3"/>
      <c r="H76" s="3"/>
      <c r="I76" s="3"/>
    </row>
    <row r="77" customFormat="false" ht="15" hidden="false" customHeight="true" outlineLevel="0" collapsed="false">
      <c r="A77" s="79" t="s">
        <v>16</v>
      </c>
      <c r="B77" s="254" t="n">
        <v>95771</v>
      </c>
      <c r="C77" s="254" t="n">
        <v>60000</v>
      </c>
      <c r="D77" s="254" t="n">
        <v>0</v>
      </c>
      <c r="E77" s="252" t="n">
        <v>155771</v>
      </c>
      <c r="F77" s="69" t="s">
        <v>940</v>
      </c>
      <c r="G77" s="3"/>
      <c r="H77" s="3"/>
      <c r="I77" s="3"/>
    </row>
    <row r="78" customFormat="false" ht="15" hidden="false" customHeight="true" outlineLevel="0" collapsed="false">
      <c r="A78" s="79" t="s">
        <v>17</v>
      </c>
      <c r="B78" s="254" t="n">
        <v>75452</v>
      </c>
      <c r="C78" s="254" t="n">
        <v>60000</v>
      </c>
      <c r="D78" s="254" t="n">
        <v>0</v>
      </c>
      <c r="E78" s="252" t="n">
        <v>135452</v>
      </c>
      <c r="F78" s="69" t="s">
        <v>940</v>
      </c>
      <c r="G78" s="3"/>
      <c r="H78" s="3"/>
      <c r="I78" s="3"/>
    </row>
    <row r="79" customFormat="false" ht="15" hidden="false" customHeight="true" outlineLevel="0" collapsed="false">
      <c r="A79" s="79" t="s">
        <v>12</v>
      </c>
      <c r="B79" s="254" t="n">
        <v>579684</v>
      </c>
      <c r="C79" s="254" t="n">
        <v>150000</v>
      </c>
      <c r="D79" s="254" t="n">
        <v>0</v>
      </c>
      <c r="E79" s="252" t="n">
        <v>729684</v>
      </c>
      <c r="F79" s="69" t="s">
        <v>941</v>
      </c>
      <c r="G79" s="3"/>
      <c r="H79" s="3"/>
      <c r="I79" s="3"/>
    </row>
    <row r="80" customFormat="false" ht="15" hidden="false" customHeight="true" outlineLevel="0" collapsed="false">
      <c r="A80" s="79" t="s">
        <v>18</v>
      </c>
      <c r="B80" s="254" t="n">
        <v>602668</v>
      </c>
      <c r="C80" s="254" t="n">
        <v>150000</v>
      </c>
      <c r="D80" s="254" t="n">
        <v>1450000</v>
      </c>
      <c r="E80" s="252" t="n">
        <v>752668</v>
      </c>
      <c r="F80" s="69" t="s">
        <v>941</v>
      </c>
      <c r="G80" s="3"/>
      <c r="H80" s="3"/>
      <c r="I80" s="3"/>
    </row>
    <row r="81" customFormat="false" ht="15" hidden="false" customHeight="true" outlineLevel="0" collapsed="false">
      <c r="A81" s="79" t="s">
        <v>19</v>
      </c>
      <c r="B81" s="254" t="n">
        <v>563546</v>
      </c>
      <c r="C81" s="254" t="n">
        <v>150000</v>
      </c>
      <c r="D81" s="254" t="n">
        <v>0</v>
      </c>
      <c r="E81" s="252" t="n">
        <v>713546</v>
      </c>
      <c r="F81" s="69" t="s">
        <v>942</v>
      </c>
      <c r="G81" s="3"/>
      <c r="H81" s="3"/>
      <c r="I81" s="3"/>
    </row>
    <row r="82" customFormat="false" ht="15" hidden="false" customHeight="true" outlineLevel="0" collapsed="false">
      <c r="A82" s="250" t="s">
        <v>539</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943</v>
      </c>
      <c r="B85" s="4"/>
      <c r="C85" s="4"/>
      <c r="D85" s="4"/>
      <c r="E85" s="4"/>
      <c r="F85" s="4"/>
      <c r="G85" s="4"/>
      <c r="H85" s="3"/>
      <c r="I85" s="3"/>
    </row>
    <row r="86" customFormat="false" ht="15" hidden="false" customHeight="true" outlineLevel="0" collapsed="false">
      <c r="A86" s="79" t="s">
        <v>944</v>
      </c>
      <c r="B86" s="266" t="n">
        <v>86621402</v>
      </c>
      <c r="C86" s="3"/>
      <c r="D86" s="3"/>
      <c r="E86" s="3"/>
      <c r="F86" s="3"/>
      <c r="G86" s="3"/>
      <c r="H86" s="3"/>
      <c r="I86" s="3"/>
    </row>
    <row r="87" customFormat="false" ht="15" hidden="false" customHeight="true" outlineLevel="0" collapsed="false">
      <c r="A87" s="79" t="s">
        <v>945</v>
      </c>
      <c r="B87" s="278" t="n">
        <v>0.0325</v>
      </c>
      <c r="C87" s="3"/>
      <c r="D87" s="3"/>
      <c r="E87" s="3"/>
      <c r="F87" s="3"/>
      <c r="G87" s="3"/>
      <c r="H87" s="3"/>
      <c r="I87" s="3"/>
    </row>
    <row r="88" customFormat="false" ht="15" hidden="false" customHeight="true" outlineLevel="0" collapsed="false">
      <c r="A88" s="79" t="s">
        <v>946</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476</v>
      </c>
      <c r="G89" s="3"/>
      <c r="H89" s="3"/>
      <c r="I89" s="3"/>
    </row>
    <row r="90" customFormat="false" ht="15" hidden="false" customHeight="true" outlineLevel="0" collapsed="false">
      <c r="A90" s="253" t="s">
        <v>947</v>
      </c>
      <c r="B90" s="254" t="n">
        <v>0</v>
      </c>
      <c r="C90" s="254" t="n">
        <v>-956261</v>
      </c>
      <c r="D90" s="254" t="n">
        <v>-1465718</v>
      </c>
      <c r="E90" s="254" t="n">
        <v>-967911</v>
      </c>
      <c r="F90" s="254" t="n">
        <v>-3389890</v>
      </c>
      <c r="G90" s="3"/>
      <c r="H90" s="3"/>
      <c r="I90" s="3"/>
    </row>
    <row r="91" customFormat="false" ht="15" hidden="false" customHeight="true" outlineLevel="0" collapsed="false">
      <c r="A91" s="267" t="s">
        <v>948</v>
      </c>
      <c r="B91" s="249" t="n">
        <v>0</v>
      </c>
      <c r="C91" s="249" t="n">
        <v>-441351</v>
      </c>
      <c r="D91" s="249" t="n">
        <v>-676485</v>
      </c>
      <c r="E91" s="249" t="n">
        <v>-446728</v>
      </c>
      <c r="F91" s="249" t="n">
        <v>-1564564</v>
      </c>
      <c r="G91" s="3"/>
      <c r="H91" s="3"/>
      <c r="I91" s="3"/>
    </row>
    <row r="92" customFormat="false" ht="15" hidden="false" customHeight="true" outlineLevel="0" collapsed="false">
      <c r="A92" s="250" t="s">
        <v>949</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950</v>
      </c>
      <c r="B95" s="4"/>
      <c r="C95" s="4"/>
      <c r="D95" s="4"/>
      <c r="E95" s="4"/>
      <c r="F95" s="4"/>
      <c r="G95" s="4"/>
      <c r="H95" s="3"/>
      <c r="I95" s="3"/>
    </row>
    <row r="96" customFormat="false" ht="15" hidden="false" customHeight="true" outlineLevel="0" collapsed="false">
      <c r="A96" s="69" t="s">
        <v>951</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952</v>
      </c>
      <c r="B98" s="262" t="n">
        <f aca="false">'Annual Summary'!B46</f>
        <v>93841157.4299332</v>
      </c>
      <c r="C98" s="262" t="n">
        <f aca="false">'Annual Summary'!C46</f>
        <v>36328367.21002</v>
      </c>
      <c r="D98" s="262" t="n">
        <f aca="false">'Annual Summary'!D46</f>
        <v>2700888.54</v>
      </c>
      <c r="E98" s="262" t="n">
        <f aca="false">'Annual Summary'!E46</f>
        <v>0</v>
      </c>
      <c r="F98" s="3"/>
      <c r="G98" s="3"/>
      <c r="H98" s="3"/>
      <c r="I98" s="3"/>
    </row>
    <row r="99" customFormat="false" ht="15" hidden="false" customHeight="true" outlineLevel="0" collapsed="false">
      <c r="A99" s="253" t="s">
        <v>953</v>
      </c>
      <c r="B99" s="254" t="n">
        <f aca="false">B98*0.025</f>
        <v>2346028.93574833</v>
      </c>
      <c r="C99" s="254" t="n">
        <f aca="false">C98*0.025</f>
        <v>908209.1802505</v>
      </c>
      <c r="D99" s="254" t="n">
        <f aca="false">D98*0.025</f>
        <v>67522.2135</v>
      </c>
      <c r="E99" s="254" t="n">
        <f aca="false">E98*0.025</f>
        <v>0</v>
      </c>
      <c r="F99" s="3"/>
      <c r="G99" s="3"/>
      <c r="H99" s="3"/>
      <c r="I99" s="3"/>
    </row>
    <row r="100" customFormat="false" ht="15" hidden="false" customHeight="true" outlineLevel="0" collapsed="false">
      <c r="A100" s="79" t="s">
        <v>954</v>
      </c>
      <c r="B100" s="262" t="n">
        <f aca="false">'Annual Summary'!B51</f>
        <v>2229655.31378602</v>
      </c>
      <c r="C100" s="262" t="n">
        <f aca="false">'Annual Summary'!C51</f>
        <v>1107158.74001327</v>
      </c>
      <c r="D100" s="262" t="n">
        <f aca="false">'Annual Summary'!D51</f>
        <v>-46374.7784224683</v>
      </c>
      <c r="E100" s="262" t="n">
        <f aca="false">'Annual Summary'!E51</f>
        <v>-6517381.23610138</v>
      </c>
      <c r="F100" s="3"/>
      <c r="G100" s="3"/>
      <c r="H100" s="3"/>
      <c r="I100" s="3"/>
    </row>
    <row r="101" customFormat="false" ht="15" hidden="false" customHeight="true" outlineLevel="0" collapsed="false">
      <c r="A101" s="79" t="s">
        <v>955</v>
      </c>
      <c r="B101" s="262" t="n">
        <f aca="false">'Annual Summary'!B22*0.05</f>
        <v>108195.983127116</v>
      </c>
      <c r="C101" s="262" t="n">
        <f aca="false">'Annual Summary'!C22*0.05</f>
        <v>167312.309275698</v>
      </c>
      <c r="D101" s="262" t="n">
        <f aca="false">'Annual Summary'!D22*0.05</f>
        <v>52266.5773658586</v>
      </c>
      <c r="E101" s="262" t="n">
        <f aca="false">'Annual Summary'!E22*0.05</f>
        <v>-224912.259110866</v>
      </c>
      <c r="F101" s="3"/>
      <c r="G101" s="3"/>
      <c r="H101" s="3"/>
      <c r="I101" s="3"/>
    </row>
    <row r="102" customFormat="false" ht="15" hidden="false" customHeight="true" outlineLevel="0" collapsed="false">
      <c r="A102" s="79" t="s">
        <v>956</v>
      </c>
      <c r="B102" s="262" t="n">
        <f aca="false">B100+B101</f>
        <v>2337851.29691314</v>
      </c>
      <c r="C102" s="262" t="n">
        <f aca="false">C100+C101</f>
        <v>1274471.04928897</v>
      </c>
      <c r="D102" s="262" t="n">
        <f aca="false">D100+D101</f>
        <v>5891.79894339027</v>
      </c>
      <c r="E102" s="262" t="n">
        <f aca="false">E100+E101</f>
        <v>-6742293.49521225</v>
      </c>
      <c r="F102" s="3"/>
      <c r="G102" s="3"/>
      <c r="H102" s="3"/>
      <c r="I102" s="3"/>
    </row>
    <row r="103" customFormat="false" ht="15" hidden="false" customHeight="true" outlineLevel="0" collapsed="false">
      <c r="A103" s="250" t="s">
        <v>957</v>
      </c>
      <c r="B103" s="251" t="n">
        <f aca="false">B102-B99</f>
        <v>-8177.6388351894</v>
      </c>
      <c r="C103" s="251" t="n">
        <f aca="false">C102-C99</f>
        <v>366261.869038468</v>
      </c>
      <c r="D103" s="251" t="n">
        <f aca="false">D102-D99</f>
        <v>-61630.4145566097</v>
      </c>
      <c r="E103" s="251" t="n">
        <f aca="false">E102-E99</f>
        <v>-6742293.49521225</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958</v>
      </c>
      <c r="B106" s="4"/>
      <c r="C106" s="4"/>
      <c r="D106" s="4"/>
      <c r="E106" s="4"/>
      <c r="F106" s="4"/>
      <c r="G106" s="4"/>
      <c r="H106" s="3"/>
      <c r="I106" s="3"/>
    </row>
    <row r="107" customFormat="false" ht="15" hidden="false" customHeight="true" outlineLevel="0" collapsed="false">
      <c r="A107" s="79" t="s">
        <v>959</v>
      </c>
      <c r="B107" s="266" t="n">
        <v>15179956</v>
      </c>
      <c r="C107" s="3"/>
      <c r="D107" s="3"/>
      <c r="E107" s="3"/>
      <c r="F107" s="3"/>
      <c r="G107" s="3"/>
      <c r="H107" s="3"/>
      <c r="I107" s="3"/>
    </row>
    <row r="108" customFormat="false" ht="15" hidden="false" customHeight="true" outlineLevel="0" collapsed="false">
      <c r="A108" s="79" t="s">
        <v>960</v>
      </c>
      <c r="B108" s="278" t="n">
        <v>0.1136</v>
      </c>
      <c r="C108" s="3"/>
      <c r="D108" s="3"/>
      <c r="E108" s="3"/>
      <c r="F108" s="3"/>
      <c r="G108" s="3"/>
      <c r="H108" s="3"/>
      <c r="I108" s="3"/>
    </row>
    <row r="109" customFormat="false" ht="15" hidden="false" customHeight="true" outlineLevel="0" collapsed="false">
      <c r="A109" s="79" t="s">
        <v>961</v>
      </c>
      <c r="B109" s="252" t="n">
        <v>1724443</v>
      </c>
      <c r="C109" s="3"/>
      <c r="D109" s="3"/>
      <c r="E109" s="3"/>
      <c r="F109" s="3"/>
      <c r="G109" s="3"/>
      <c r="H109" s="3"/>
      <c r="I109" s="3"/>
    </row>
    <row r="110" customFormat="false" ht="15" hidden="false" customHeight="true" outlineLevel="0" collapsed="false">
      <c r="A110" s="79" t="s">
        <v>962</v>
      </c>
      <c r="B110" s="279" t="n">
        <v>3</v>
      </c>
      <c r="C110" s="3"/>
      <c r="D110" s="3"/>
      <c r="E110" s="3"/>
      <c r="F110" s="3"/>
      <c r="G110" s="3"/>
      <c r="H110" s="3"/>
      <c r="I110" s="3"/>
    </row>
    <row r="111" customFormat="false" ht="15" hidden="false" customHeight="true" outlineLevel="0" collapsed="false">
      <c r="A111" s="250" t="s">
        <v>963</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964</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476</v>
      </c>
      <c r="G114" s="3"/>
      <c r="H114" s="3"/>
      <c r="I114" s="3"/>
    </row>
    <row r="115" customFormat="false" ht="15" hidden="false" customHeight="true" outlineLevel="0" collapsed="false">
      <c r="A115" s="79" t="s">
        <v>965</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966</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967</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968</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969</v>
      </c>
      <c r="B122" s="4"/>
      <c r="C122" s="4"/>
      <c r="D122" s="4"/>
      <c r="E122" s="4"/>
      <c r="F122" s="4"/>
      <c r="G122" s="4"/>
      <c r="H122" s="3"/>
      <c r="I122" s="3"/>
    </row>
    <row r="123" customFormat="false" ht="15" hidden="false" customHeight="true" outlineLevel="0" collapsed="false">
      <c r="A123" s="69" t="s">
        <v>970</v>
      </c>
      <c r="B123" s="3"/>
      <c r="C123" s="3"/>
      <c r="D123" s="3"/>
      <c r="E123" s="3"/>
      <c r="F123" s="3"/>
      <c r="G123" s="3"/>
      <c r="H123" s="3"/>
      <c r="I123" s="3"/>
    </row>
    <row r="124" customFormat="false" ht="15" hidden="false" customHeight="true" outlineLevel="0" collapsed="false">
      <c r="A124" s="23"/>
      <c r="B124" s="23" t="s">
        <v>971</v>
      </c>
      <c r="C124" s="23" t="s">
        <v>972</v>
      </c>
      <c r="D124" s="23" t="s">
        <v>756</v>
      </c>
      <c r="E124" s="3"/>
      <c r="F124" s="3"/>
      <c r="G124" s="3"/>
      <c r="H124" s="3"/>
      <c r="I124" s="3"/>
    </row>
    <row r="125" customFormat="false" ht="15" hidden="false" customHeight="true" outlineLevel="0" collapsed="false">
      <c r="A125" s="79" t="s">
        <v>973</v>
      </c>
      <c r="B125" s="266" t="n">
        <v>1450000</v>
      </c>
      <c r="C125" s="280" t="s">
        <v>974</v>
      </c>
      <c r="D125" s="69" t="s">
        <v>975</v>
      </c>
      <c r="E125" s="3"/>
      <c r="F125" s="3"/>
      <c r="G125" s="3"/>
      <c r="H125" s="3"/>
      <c r="I125" s="3"/>
    </row>
    <row r="126" customFormat="false" ht="15" hidden="false" customHeight="true" outlineLevel="0" collapsed="false">
      <c r="A126" s="79" t="s">
        <v>976</v>
      </c>
      <c r="B126" s="254" t="n">
        <v>-1450000</v>
      </c>
      <c r="C126" s="280" t="s">
        <v>977</v>
      </c>
      <c r="D126" s="69" t="s">
        <v>978</v>
      </c>
      <c r="E126" s="3"/>
      <c r="F126" s="3"/>
      <c r="G126" s="3"/>
      <c r="H126" s="3"/>
      <c r="I126" s="3"/>
    </row>
    <row r="127" customFormat="false" ht="15" hidden="false" customHeight="true" outlineLevel="0" collapsed="false">
      <c r="A127" s="79" t="s">
        <v>979</v>
      </c>
      <c r="B127" s="3"/>
      <c r="C127" s="280" t="s">
        <v>980</v>
      </c>
      <c r="D127" s="69" t="s">
        <v>981</v>
      </c>
      <c r="E127" s="3"/>
      <c r="F127" s="3"/>
      <c r="G127" s="3"/>
      <c r="H127" s="3"/>
      <c r="I127" s="3"/>
    </row>
    <row r="128" customFormat="false" ht="15" hidden="false" customHeight="true" outlineLevel="0" collapsed="false">
      <c r="A128" s="250" t="s">
        <v>982</v>
      </c>
      <c r="B128" s="251" t="n">
        <v>0</v>
      </c>
      <c r="C128" s="250" t="s">
        <v>983</v>
      </c>
      <c r="D128" s="250" t="s">
        <v>984</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985</v>
      </c>
      <c r="B130" s="281" t="n">
        <v>362885</v>
      </c>
      <c r="C130" s="280" t="s">
        <v>986</v>
      </c>
      <c r="D130" s="69" t="s">
        <v>987</v>
      </c>
      <c r="E130" s="3"/>
      <c r="F130" s="3"/>
      <c r="G130" s="3"/>
      <c r="H130" s="3"/>
      <c r="I130" s="3"/>
    </row>
    <row r="131" customFormat="false" ht="15" hidden="false" customHeight="true" outlineLevel="0" collapsed="false">
      <c r="A131" s="250" t="s">
        <v>988</v>
      </c>
      <c r="B131" s="251" t="n">
        <v>1812885</v>
      </c>
      <c r="C131" s="250" t="s">
        <v>989</v>
      </c>
      <c r="D131" s="250" t="s">
        <v>990</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20"/>
  </cols>
  <sheetData>
    <row r="1" customFormat="false" ht="15" hidden="false" customHeight="true" outlineLevel="0" collapsed="false">
      <c r="A1" s="4" t="s">
        <v>554</v>
      </c>
      <c r="B1" s="49" t="s">
        <v>991</v>
      </c>
      <c r="C1" s="49" t="s">
        <v>992</v>
      </c>
      <c r="D1" s="49" t="s">
        <v>993</v>
      </c>
      <c r="E1" s="49" t="s">
        <v>994</v>
      </c>
      <c r="F1" s="49" t="s">
        <v>995</v>
      </c>
      <c r="G1" s="49" t="s">
        <v>996</v>
      </c>
      <c r="H1" s="49" t="s">
        <v>997</v>
      </c>
      <c r="I1" s="49" t="s">
        <v>998</v>
      </c>
      <c r="J1" s="49" t="s">
        <v>999</v>
      </c>
      <c r="K1" s="49" t="s">
        <v>1000</v>
      </c>
      <c r="L1" s="49" t="s">
        <v>1001</v>
      </c>
      <c r="M1" s="49" t="s">
        <v>1002</v>
      </c>
      <c r="N1" s="49" t="s">
        <v>1003</v>
      </c>
      <c r="O1" s="49" t="s">
        <v>779</v>
      </c>
      <c r="P1" s="49" t="s">
        <v>1004</v>
      </c>
      <c r="Q1" s="49" t="s">
        <v>1005</v>
      </c>
      <c r="R1" s="49" t="s">
        <v>781</v>
      </c>
      <c r="S1" s="49" t="s">
        <v>1006</v>
      </c>
      <c r="T1" s="49" t="s">
        <v>1007</v>
      </c>
      <c r="U1" s="49" t="s">
        <v>1008</v>
      </c>
      <c r="V1" s="49" t="s">
        <v>1009</v>
      </c>
      <c r="W1" s="49" t="s">
        <v>783</v>
      </c>
      <c r="X1" s="49" t="s">
        <v>1010</v>
      </c>
      <c r="Y1" s="49" t="s">
        <v>1011</v>
      </c>
      <c r="Z1" s="49" t="s">
        <v>1012</v>
      </c>
      <c r="AA1" s="49" t="s">
        <v>1013</v>
      </c>
      <c r="AB1" s="49" t="s">
        <v>1014</v>
      </c>
      <c r="AC1" s="49" t="s">
        <v>1015</v>
      </c>
      <c r="AD1" s="49" t="s">
        <v>1016</v>
      </c>
      <c r="AE1" s="49" t="s">
        <v>785</v>
      </c>
      <c r="AF1" s="49" t="s">
        <v>1017</v>
      </c>
      <c r="AG1" s="49" t="s">
        <v>1018</v>
      </c>
      <c r="AH1" s="49" t="s">
        <v>1019</v>
      </c>
      <c r="AI1" s="49" t="s">
        <v>1020</v>
      </c>
      <c r="AJ1" s="49" t="s">
        <v>1021</v>
      </c>
      <c r="AK1" s="49" t="s">
        <v>1022</v>
      </c>
      <c r="AL1" s="49" t="s">
        <v>1023</v>
      </c>
      <c r="AM1" s="49" t="s">
        <v>1024</v>
      </c>
      <c r="AN1" s="49" t="s">
        <v>1025</v>
      </c>
      <c r="AO1" s="49" t="s">
        <v>1026</v>
      </c>
    </row>
    <row r="2" customFormat="false" ht="15" hidden="false" customHeight="true" outlineLevel="0" collapsed="false">
      <c r="A2" s="177" t="s">
        <v>1027</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1028</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1029</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1030</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09375" defaultRowHeight="13.5" customHeight="false"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4" t="s">
        <v>1031</v>
      </c>
      <c r="B1" s="284"/>
      <c r="C1" s="284"/>
      <c r="D1" s="284"/>
    </row>
    <row r="3" customFormat="false" ht="15" hidden="false" customHeight="true" outlineLevel="0" collapsed="false">
      <c r="A3" s="23" t="s">
        <v>1032</v>
      </c>
      <c r="B3" s="23"/>
      <c r="C3" s="23"/>
      <c r="D3" s="23"/>
    </row>
    <row r="4" customFormat="false" ht="15" hidden="false" customHeight="true" outlineLevel="0" collapsed="false">
      <c r="A4" s="177" t="s">
        <v>1033</v>
      </c>
      <c r="B4" s="282" t="n">
        <v>0.06</v>
      </c>
    </row>
    <row r="5" customFormat="false" ht="15" hidden="false" customHeight="true" outlineLevel="0" collapsed="false">
      <c r="A5" s="177" t="s">
        <v>877</v>
      </c>
      <c r="B5" s="282" t="n">
        <v>0.06</v>
      </c>
    </row>
    <row r="6" customFormat="false" ht="15" hidden="false" customHeight="true" outlineLevel="0" collapsed="false">
      <c r="A6" s="177" t="s">
        <v>1034</v>
      </c>
      <c r="B6" s="282" t="n">
        <v>0.02</v>
      </c>
    </row>
    <row r="7" customFormat="false" ht="15" hidden="false" customHeight="true" outlineLevel="0" collapsed="false">
      <c r="A7" s="177" t="s">
        <v>1035</v>
      </c>
      <c r="B7" s="180" t="n">
        <f aca="false">B4+B5+B6</f>
        <v>0.14</v>
      </c>
    </row>
    <row r="8" customFormat="false" ht="15" hidden="false" customHeight="true" outlineLevel="0" collapsed="false">
      <c r="A8" s="177"/>
      <c r="B8" s="282"/>
    </row>
    <row r="9" customFormat="false" ht="15" hidden="false" customHeight="true" outlineLevel="0" collapsed="false">
      <c r="A9" s="177" t="s">
        <v>1036</v>
      </c>
      <c r="B9" s="180" t="n">
        <f aca="false">SUM(B10:B12)</f>
        <v>0.120391</v>
      </c>
      <c r="C9" s="1" t="s">
        <v>1037</v>
      </c>
    </row>
    <row r="10" customFormat="false" ht="15" hidden="false" customHeight="true" outlineLevel="0" collapsed="false">
      <c r="A10" s="177" t="s">
        <v>1038</v>
      </c>
      <c r="B10" s="180" t="n">
        <v>0.051596</v>
      </c>
    </row>
    <row r="11" customFormat="false" ht="15" hidden="false" customHeight="true" outlineLevel="0" collapsed="false">
      <c r="A11" s="177" t="s">
        <v>1039</v>
      </c>
      <c r="B11" s="180" t="n">
        <v>0.051596</v>
      </c>
    </row>
    <row r="12" customFormat="false" ht="15" hidden="false" customHeight="true" outlineLevel="0" collapsed="false">
      <c r="A12" s="177" t="s">
        <v>1040</v>
      </c>
      <c r="B12" s="180" t="n">
        <v>0.017199</v>
      </c>
    </row>
    <row r="14" customFormat="false" ht="15" hidden="false" customHeight="true" outlineLevel="0" collapsed="false">
      <c r="A14" s="23" t="s">
        <v>1041</v>
      </c>
      <c r="B14" s="23"/>
      <c r="C14" s="23"/>
      <c r="D14" s="23"/>
    </row>
    <row r="15" customFormat="false" ht="15" hidden="false" customHeight="true" outlineLevel="0" collapsed="false">
      <c r="A15" s="177" t="s">
        <v>882</v>
      </c>
      <c r="B15" s="282" t="n">
        <v>0.015</v>
      </c>
    </row>
    <row r="16" customFormat="false" ht="15" hidden="false" customHeight="true" outlineLevel="0" collapsed="false">
      <c r="A16" s="177" t="s">
        <v>884</v>
      </c>
      <c r="B16" s="282" t="n">
        <v>0.0074</v>
      </c>
    </row>
    <row r="17" customFormat="false" ht="15" hidden="false" customHeight="true" outlineLevel="0" collapsed="false">
      <c r="A17" s="177" t="s">
        <v>886</v>
      </c>
      <c r="B17" s="282" t="n">
        <v>0.0325</v>
      </c>
    </row>
    <row r="18" customFormat="false" ht="15" hidden="false" customHeight="true" outlineLevel="0" collapsed="false">
      <c r="A18" s="1" t="s">
        <v>1042</v>
      </c>
      <c r="B18" s="285" t="n">
        <f aca="false">103966/14337010.8</f>
        <v>0.00725158134079107</v>
      </c>
      <c r="C18" s="1" t="s">
        <v>1043</v>
      </c>
      <c r="D18" s="286"/>
    </row>
    <row r="19" customFormat="false" ht="15" hidden="false" customHeight="true" outlineLevel="0" collapsed="false">
      <c r="A19" s="23" t="s">
        <v>1044</v>
      </c>
      <c r="B19" s="23"/>
      <c r="C19" s="23"/>
      <c r="D19" s="23"/>
    </row>
    <row r="20" customFormat="false" ht="15" hidden="false" customHeight="true" outlineLevel="0" collapsed="false">
      <c r="A20" s="177" t="s">
        <v>1045</v>
      </c>
      <c r="B20" s="282" t="n">
        <v>0.07</v>
      </c>
    </row>
    <row r="21" customFormat="false" ht="15" hidden="false" customHeight="true" outlineLevel="0" collapsed="false">
      <c r="A21" s="177" t="s">
        <v>1046</v>
      </c>
      <c r="B21" s="282" t="n">
        <v>0.005</v>
      </c>
    </row>
    <row r="22" customFormat="false" ht="15" hidden="false" customHeight="true" outlineLevel="0" collapsed="false">
      <c r="A22" s="177" t="s">
        <v>1047</v>
      </c>
      <c r="B22" s="282" t="n">
        <v>0.05</v>
      </c>
    </row>
    <row r="23" customFormat="false" ht="15" hidden="false" customHeight="true" outlineLevel="0" collapsed="false">
      <c r="A23" s="177" t="s">
        <v>1048</v>
      </c>
      <c r="B23" s="282" t="n">
        <v>0.02</v>
      </c>
    </row>
    <row r="25" customFormat="false" ht="15" hidden="false" customHeight="true" outlineLevel="0" collapsed="false">
      <c r="A25" s="23" t="s">
        <v>1049</v>
      </c>
      <c r="B25" s="23"/>
      <c r="C25" s="23"/>
      <c r="D25" s="23"/>
    </row>
    <row r="26" customFormat="false" ht="15" hidden="false" customHeight="true" outlineLevel="0" collapsed="false">
      <c r="A26" s="177" t="s">
        <v>1050</v>
      </c>
      <c r="B26" s="259" t="n">
        <v>0.02</v>
      </c>
    </row>
    <row r="28" customFormat="false" ht="15" hidden="false" customHeight="true" outlineLevel="0" collapsed="false">
      <c r="A28" s="23" t="s">
        <v>1051</v>
      </c>
      <c r="B28" s="23"/>
      <c r="C28" s="23"/>
      <c r="D28" s="23"/>
    </row>
    <row r="29" customFormat="false" ht="15" hidden="false" customHeight="true" outlineLevel="0" collapsed="false">
      <c r="A29" s="177" t="s">
        <v>1052</v>
      </c>
      <c r="B29" s="261" t="n">
        <v>1287106</v>
      </c>
    </row>
    <row r="30" customFormat="false" ht="15" hidden="false" customHeight="true" outlineLevel="0" collapsed="false">
      <c r="A30" s="177" t="s">
        <v>1053</v>
      </c>
      <c r="B30" s="261" t="n">
        <v>658190</v>
      </c>
    </row>
    <row r="32" customFormat="false" ht="15" hidden="false" customHeight="true" outlineLevel="0" collapsed="false">
      <c r="A32" s="23" t="s">
        <v>1054</v>
      </c>
      <c r="B32" s="23"/>
      <c r="C32" s="23"/>
      <c r="D32" s="23"/>
    </row>
    <row r="33" customFormat="false" ht="15" hidden="false" customHeight="true" outlineLevel="0" collapsed="false">
      <c r="A33" s="177" t="s">
        <v>1055</v>
      </c>
      <c r="B33" s="261" t="n">
        <v>1615485</v>
      </c>
    </row>
    <row r="34" customFormat="false" ht="15" hidden="false" customHeight="true" outlineLevel="0" collapsed="false">
      <c r="A34" s="177" t="s">
        <v>1056</v>
      </c>
      <c r="B34" s="282" t="n">
        <v>0.15</v>
      </c>
    </row>
    <row r="35" customFormat="false" ht="15" hidden="false" customHeight="true" outlineLevel="0" collapsed="false">
      <c r="A35" s="177" t="s">
        <v>1057</v>
      </c>
      <c r="B35" s="180" t="n">
        <f aca="false">B34/4</f>
        <v>0.0375</v>
      </c>
    </row>
    <row r="36" customFormat="false" ht="15" hidden="false" customHeight="true" outlineLevel="0" collapsed="false">
      <c r="A36" s="177" t="s">
        <v>1058</v>
      </c>
      <c r="B36" s="261" t="n">
        <v>112000</v>
      </c>
    </row>
    <row r="37" customFormat="false" ht="15" hidden="false" customHeight="true" outlineLevel="0" collapsed="false">
      <c r="A37" s="177" t="s">
        <v>1059</v>
      </c>
      <c r="B37" s="287" t="n">
        <v>10</v>
      </c>
    </row>
    <row r="38" customFormat="false" ht="15" hidden="false" customHeight="true" outlineLevel="0" collapsed="false">
      <c r="A38" s="288" t="s">
        <v>1060</v>
      </c>
    </row>
    <row r="40" customFormat="false" ht="15" hidden="false" customHeight="true" outlineLevel="0" collapsed="false">
      <c r="A40" s="23" t="s">
        <v>1061</v>
      </c>
      <c r="B40" s="23"/>
      <c r="C40" s="23"/>
      <c r="D40" s="23"/>
    </row>
    <row r="41" customFormat="false" ht="15" hidden="false" customHeight="true" outlineLevel="0" collapsed="false">
      <c r="A41" s="177" t="s">
        <v>1062</v>
      </c>
      <c r="B41" s="261" t="n">
        <v>1000000</v>
      </c>
    </row>
    <row r="42" customFormat="false" ht="15" hidden="false" customHeight="true" outlineLevel="0" collapsed="false">
      <c r="A42" s="177" t="s">
        <v>1063</v>
      </c>
      <c r="B42" s="289" t="n">
        <f aca="false">B41*0.25</f>
        <v>250000</v>
      </c>
    </row>
    <row r="43" customFormat="false" ht="15" hidden="false" customHeight="true" outlineLevel="0" collapsed="false">
      <c r="A43" s="177" t="s">
        <v>1064</v>
      </c>
      <c r="B43" s="261" t="n">
        <v>1000000</v>
      </c>
    </row>
    <row r="44" customFormat="false" ht="15" hidden="false" customHeight="true" outlineLevel="0" collapsed="false">
      <c r="A44" s="288" t="s">
        <v>1065</v>
      </c>
    </row>
    <row r="46" customFormat="false" ht="15" hidden="false" customHeight="true" outlineLevel="0" collapsed="false">
      <c r="A46" s="23" t="s">
        <v>1066</v>
      </c>
      <c r="B46" s="23"/>
      <c r="C46" s="23"/>
      <c r="D46" s="23"/>
    </row>
    <row r="47" customFormat="false" ht="15" hidden="false" customHeight="true" outlineLevel="0" collapsed="false">
      <c r="A47" s="177" t="s">
        <v>1067</v>
      </c>
      <c r="B47" s="282" t="n">
        <v>0.01</v>
      </c>
    </row>
    <row r="48" customFormat="false" ht="15" hidden="false" customHeight="true" outlineLevel="0" collapsed="false">
      <c r="A48" s="177" t="s">
        <v>1068</v>
      </c>
      <c r="B48" s="282" t="n">
        <v>0.03</v>
      </c>
    </row>
    <row r="50" customFormat="false" ht="15" hidden="false" customHeight="true" outlineLevel="0" collapsed="false">
      <c r="A50" s="23" t="s">
        <v>1069</v>
      </c>
      <c r="B50" s="23"/>
      <c r="C50" s="290"/>
      <c r="D50" s="23"/>
    </row>
    <row r="51" customFormat="false" ht="15" hidden="false" customHeight="true" outlineLevel="0" collapsed="false">
      <c r="A51" s="177" t="s">
        <v>16</v>
      </c>
      <c r="B51" s="261" t="n">
        <v>0</v>
      </c>
    </row>
    <row r="52" customFormat="false" ht="15" hidden="false" customHeight="true" outlineLevel="0" collapsed="false">
      <c r="A52" s="177" t="s">
        <v>17</v>
      </c>
      <c r="B52" s="261" t="n">
        <v>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1070</v>
      </c>
      <c r="B57" s="23"/>
      <c r="C57" s="23"/>
      <c r="D57" s="23"/>
    </row>
    <row r="58" customFormat="false" ht="15" hidden="false" customHeight="true" outlineLevel="0" collapsed="false">
      <c r="A58" s="177" t="s">
        <v>1071</v>
      </c>
      <c r="B58" s="282" t="n">
        <v>0.15</v>
      </c>
    </row>
    <row r="59" customFormat="false" ht="15" hidden="false" customHeight="true" outlineLevel="0" collapsed="false">
      <c r="A59" s="177" t="s">
        <v>1072</v>
      </c>
      <c r="B59" s="180" t="n">
        <f aca="false">B58/4</f>
        <v>0.0375</v>
      </c>
    </row>
    <row r="60" customFormat="false" ht="15" hidden="false" customHeight="true" outlineLevel="0" collapsed="false">
      <c r="A60" s="177" t="s">
        <v>1073</v>
      </c>
      <c r="B60" s="261" t="n">
        <v>0</v>
      </c>
    </row>
    <row r="61" customFormat="false" ht="15" hidden="false" customHeight="true" outlineLevel="0" collapsed="false">
      <c r="A61" s="177" t="s">
        <v>1074</v>
      </c>
      <c r="B61" s="261" t="n">
        <v>0</v>
      </c>
    </row>
    <row r="62" customFormat="false" ht="15" hidden="false" customHeight="true" outlineLevel="0" collapsed="false">
      <c r="A62" s="177" t="s">
        <v>1075</v>
      </c>
      <c r="B62" s="261" t="n">
        <v>1784000</v>
      </c>
    </row>
    <row r="63" customFormat="false" ht="15" hidden="false" customHeight="true" outlineLevel="0" collapsed="false">
      <c r="A63" s="177" t="s">
        <v>1076</v>
      </c>
      <c r="B63" s="261" t="n">
        <v>1766181</v>
      </c>
    </row>
    <row r="64" customFormat="false" ht="15" hidden="false" customHeight="true" outlineLevel="0" collapsed="false">
      <c r="A64" s="288" t="s">
        <v>1077</v>
      </c>
    </row>
    <row r="65" customFormat="false" ht="13.5" hidden="false" customHeight="true" outlineLevel="0" collapsed="false">
      <c r="A65" s="177" t="s">
        <v>1078</v>
      </c>
      <c r="B65" s="264" t="n">
        <v>60000</v>
      </c>
    </row>
    <row r="66" customFormat="false" ht="15" hidden="false" customHeight="true" outlineLevel="0" collapsed="false">
      <c r="A66" s="97" t="s">
        <v>101</v>
      </c>
    </row>
    <row r="67" customFormat="false" ht="15" hidden="false" customHeight="true" outlineLevel="0" collapsed="false">
      <c r="A67" s="90" t="s">
        <v>1079</v>
      </c>
      <c r="B67" s="291" t="n">
        <v>833.33</v>
      </c>
    </row>
    <row r="68" customFormat="false" ht="15" hidden="false" customHeight="true" outlineLevel="0" collapsed="false">
      <c r="A68" s="90" t="s">
        <v>1080</v>
      </c>
      <c r="B68" s="90" t="n">
        <v>5</v>
      </c>
    </row>
    <row r="70" customFormat="false" ht="15" hidden="false" customHeight="true" outlineLevel="0" collapsed="false">
      <c r="A70" s="292" t="s">
        <v>1081</v>
      </c>
      <c r="B70" s="292"/>
    </row>
    <row r="71" customFormat="false" ht="15" hidden="false" customHeight="true" outlineLevel="0" collapsed="false">
      <c r="A71" s="293" t="s">
        <v>1082</v>
      </c>
      <c r="B71" s="294" t="n">
        <v>1134000</v>
      </c>
    </row>
    <row r="72" customFormat="false" ht="15" hidden="false" customHeight="true" outlineLevel="0" collapsed="false">
      <c r="A72" s="295" t="s">
        <v>1083</v>
      </c>
      <c r="B72" s="296" t="n">
        <v>50000</v>
      </c>
    </row>
    <row r="73" customFormat="false" ht="15" hidden="false" customHeight="true" outlineLevel="0" collapsed="false">
      <c r="A73" s="293" t="s">
        <v>1084</v>
      </c>
      <c r="B73" s="297" t="n">
        <v>14</v>
      </c>
    </row>
    <row r="74" customFormat="false" ht="15" hidden="false" customHeight="true" outlineLevel="0" collapsed="false">
      <c r="A74" s="295" t="s">
        <v>172</v>
      </c>
      <c r="B74" s="296" t="n">
        <v>-1450000</v>
      </c>
    </row>
    <row r="75" customFormat="false" ht="15" hidden="false" customHeight="true" outlineLevel="0" collapsed="false">
      <c r="A75" s="293" t="s">
        <v>1085</v>
      </c>
      <c r="B75" s="294" t="n">
        <v>264927.15</v>
      </c>
    </row>
    <row r="76" customFormat="false" ht="15" hidden="false" customHeight="true" outlineLevel="0" collapsed="false">
      <c r="A76" s="295" t="s">
        <v>1086</v>
      </c>
      <c r="B76" s="296" t="n">
        <v>883090.5</v>
      </c>
    </row>
    <row r="77" customFormat="false" ht="15" hidden="false" customHeight="true" outlineLevel="0" collapsed="false">
      <c r="A77" s="293" t="s">
        <v>167</v>
      </c>
      <c r="B77" s="294" t="n">
        <v>-1800000</v>
      </c>
    </row>
    <row r="79" customFormat="false" ht="19.5" hidden="false" customHeight="true" outlineLevel="0" collapsed="false">
      <c r="A79" s="298" t="s">
        <v>1087</v>
      </c>
    </row>
    <row r="80" customFormat="false" ht="15" hidden="false" customHeight="true" outlineLevel="0" collapsed="false">
      <c r="A80" s="299" t="s">
        <v>1088</v>
      </c>
      <c r="B80" s="300" t="n">
        <v>1</v>
      </c>
    </row>
    <row r="82" customFormat="false" ht="27.75" hidden="false" customHeight="true" outlineLevel="0" collapsed="false">
      <c r="A82" s="156" t="s">
        <v>1089</v>
      </c>
      <c r="B82" s="156" t="s">
        <v>1090</v>
      </c>
      <c r="C82" s="156" t="s">
        <v>1091</v>
      </c>
    </row>
    <row r="83" customFormat="false" ht="15" hidden="false" customHeight="true" outlineLevel="0" collapsed="false">
      <c r="A83" s="301" t="s">
        <v>1092</v>
      </c>
      <c r="B83" s="302" t="n">
        <v>0</v>
      </c>
      <c r="C83" s="303" t="n">
        <v>0.25</v>
      </c>
    </row>
    <row r="84" customFormat="false" ht="15" hidden="false" customHeight="true" outlineLevel="0" collapsed="false">
      <c r="A84" s="301" t="s">
        <v>1093</v>
      </c>
      <c r="B84" s="302" t="n">
        <v>20000000</v>
      </c>
      <c r="C84" s="303" t="n">
        <v>0.5</v>
      </c>
    </row>
    <row r="85" customFormat="false" ht="15" hidden="false" customHeight="true" outlineLevel="0" collapsed="false">
      <c r="A85" s="301" t="s">
        <v>1094</v>
      </c>
      <c r="B85" s="302" t="n">
        <v>40000000</v>
      </c>
      <c r="C85" s="303" t="n">
        <v>0.75</v>
      </c>
    </row>
    <row r="86" customFormat="false" ht="15" hidden="false" customHeight="true" outlineLevel="0" collapsed="false">
      <c r="A86" s="301" t="s">
        <v>1095</v>
      </c>
      <c r="B86" s="302" t="n">
        <v>60000000</v>
      </c>
      <c r="C86" s="303" t="n">
        <v>1</v>
      </c>
    </row>
    <row r="88" customFormat="false" ht="15" hidden="false" customHeight="true" outlineLevel="0" collapsed="false">
      <c r="A88" s="72" t="s">
        <v>1096</v>
      </c>
    </row>
    <row r="92" customFormat="false" ht="15" hidden="false" customHeight="true" outlineLevel="0" collapsed="false">
      <c r="A92" s="1" t="s">
        <v>1097</v>
      </c>
    </row>
    <row r="93" customFormat="false" ht="15" hidden="false" customHeight="true" outlineLevel="0" collapsed="false">
      <c r="A93" s="1" t="s">
        <v>1098</v>
      </c>
    </row>
    <row r="94" customFormat="false" ht="15" hidden="false" customHeight="true" outlineLevel="0" collapsed="false">
      <c r="A94" s="1" t="s">
        <v>1099</v>
      </c>
    </row>
    <row r="95" customFormat="false" ht="15" hidden="false" customHeight="true" outlineLevel="0" collapsed="false">
      <c r="A95" s="1" t="s">
        <v>1100</v>
      </c>
    </row>
    <row r="96" customFormat="false" ht="15" hidden="false" customHeight="true" outlineLevel="0" collapsed="false">
      <c r="A96" s="1" t="s">
        <v>1101</v>
      </c>
    </row>
    <row r="97" customFormat="false" ht="15" hidden="false" customHeight="true" outlineLevel="0" collapsed="false">
      <c r="A97" s="1" t="s">
        <v>1102</v>
      </c>
    </row>
    <row r="98" customFormat="false" ht="15" hidden="false" customHeight="true" outlineLevel="0" collapsed="false">
      <c r="A98" s="1" t="s">
        <v>1103</v>
      </c>
    </row>
    <row r="99" customFormat="false" ht="15" hidden="false" customHeight="true" outlineLevel="0" collapsed="false">
      <c r="A99" s="1" t="s">
        <v>1104</v>
      </c>
    </row>
    <row r="100" customFormat="false" ht="15" hidden="false" customHeight="true" outlineLevel="0" collapsed="false">
      <c r="A100" s="1" t="s">
        <v>1105</v>
      </c>
    </row>
    <row r="101" customFormat="false" ht="15" hidden="false" customHeight="true" outlineLevel="0" collapsed="false">
      <c r="A101" s="1" t="s">
        <v>1106</v>
      </c>
    </row>
    <row r="102" customFormat="false" ht="15" hidden="false" customHeight="true" outlineLevel="0" collapsed="false">
      <c r="A102" s="1" t="s">
        <v>1107</v>
      </c>
    </row>
    <row r="103" customFormat="false" ht="15" hidden="false" customHeight="true" outlineLevel="0" collapsed="false">
      <c r="A103" s="1" t="s">
        <v>1108</v>
      </c>
    </row>
    <row r="104" customFormat="false" ht="15" hidden="false" customHeight="true" outlineLevel="0" collapsed="false">
      <c r="A104" s="1" t="s">
        <v>1109</v>
      </c>
    </row>
    <row r="105" customFormat="false" ht="15" hidden="false" customHeight="true" outlineLevel="0" collapsed="false">
      <c r="A105" s="1" t="s">
        <v>1110</v>
      </c>
    </row>
    <row r="106" customFormat="false" ht="15" hidden="false" customHeight="true" outlineLevel="0" collapsed="false">
      <c r="A106" s="1" t="s">
        <v>1111</v>
      </c>
    </row>
    <row r="108" customFormat="false" ht="15" hidden="false" customHeight="true" outlineLevel="0" collapsed="false">
      <c r="A108" s="1" t="s">
        <v>1112</v>
      </c>
    </row>
    <row r="109" customFormat="false" ht="15" hidden="false" customHeight="true" outlineLevel="0" collapsed="false">
      <c r="A109" s="1" t="s">
        <v>1113</v>
      </c>
    </row>
    <row r="110" customFormat="false" ht="15" hidden="false" customHeight="true" outlineLevel="0" collapsed="false">
      <c r="A110" s="1" t="s">
        <v>1114</v>
      </c>
    </row>
    <row r="112" customFormat="false" ht="15" hidden="false" customHeight="true" outlineLevel="0" collapsed="false">
      <c r="A112" s="1" t="s">
        <v>1115</v>
      </c>
    </row>
    <row r="113" customFormat="false" ht="15" hidden="false" customHeight="true" outlineLevel="0" collapsed="false">
      <c r="A113" s="1" t="s">
        <v>1116</v>
      </c>
    </row>
    <row r="114" customFormat="false" ht="15" hidden="false" customHeight="true" outlineLevel="0" collapsed="false">
      <c r="A114" s="1" t="s">
        <v>1117</v>
      </c>
    </row>
    <row r="115" customFormat="false" ht="15" hidden="false" customHeight="true" outlineLevel="0" collapsed="false">
      <c r="A115" s="1" t="s">
        <v>1118</v>
      </c>
    </row>
    <row r="117" customFormat="false" ht="15" hidden="false" customHeight="true" outlineLevel="0" collapsed="false">
      <c r="A117" s="1" t="s">
        <v>1119</v>
      </c>
    </row>
    <row r="118" customFormat="false" ht="15" hidden="false" customHeight="true" outlineLevel="0" collapsed="false">
      <c r="A118" s="1" t="s">
        <v>1120</v>
      </c>
    </row>
    <row r="119" customFormat="false" ht="15" hidden="false" customHeight="true" outlineLevel="0" collapsed="false">
      <c r="A119" s="1" t="s">
        <v>1121</v>
      </c>
    </row>
    <row r="120" customFormat="false" ht="15" hidden="false" customHeight="true" outlineLevel="0" collapsed="false">
      <c r="A120" s="1" t="s">
        <v>1122</v>
      </c>
    </row>
    <row r="121" customFormat="false" ht="15" hidden="false" customHeight="true" outlineLevel="0" collapsed="false">
      <c r="A121" s="1" t="s">
        <v>1123</v>
      </c>
    </row>
    <row r="130" customFormat="false" ht="15" hidden="false" customHeight="true" outlineLevel="0" collapsed="false">
      <c r="A130" s="1" t="s">
        <v>1124</v>
      </c>
    </row>
    <row r="131" customFormat="false" ht="15" hidden="false" customHeight="true" outlineLevel="0" collapsed="false">
      <c r="A131" s="1" t="s">
        <v>1125</v>
      </c>
    </row>
    <row r="132" customFormat="false" ht="15" hidden="false" customHeight="true" outlineLevel="0" collapsed="false">
      <c r="A132" s="1" t="s">
        <v>1126</v>
      </c>
    </row>
    <row r="133" customFormat="false" ht="15" hidden="false" customHeight="true" outlineLevel="0" collapsed="false">
      <c r="A133" s="1" t="s">
        <v>1127</v>
      </c>
    </row>
    <row r="134" customFormat="false" ht="15" hidden="false" customHeight="true" outlineLevel="0" collapsed="false">
      <c r="A134" s="1" t="s">
        <v>1128</v>
      </c>
    </row>
    <row r="135" customFormat="false" ht="15" hidden="false" customHeight="true" outlineLevel="0" collapsed="false">
      <c r="A135" s="1" t="s">
        <v>1129</v>
      </c>
    </row>
    <row r="136" customFormat="false" ht="15" hidden="false" customHeight="true" outlineLevel="0" collapsed="false">
      <c r="A136" s="1" t="s">
        <v>1130</v>
      </c>
    </row>
    <row r="137" customFormat="false" ht="15" hidden="false" customHeight="true" outlineLevel="0" collapsed="false">
      <c r="A137" s="1" t="s">
        <v>1131</v>
      </c>
    </row>
    <row r="138" customFormat="false" ht="15" hidden="false" customHeight="true" outlineLevel="0" collapsed="false">
      <c r="A138" s="1" t="s">
        <v>1132</v>
      </c>
    </row>
    <row r="139" customFormat="false" ht="15" hidden="false" customHeight="true" outlineLevel="0" collapsed="false">
      <c r="A139" s="1" t="s">
        <v>1133</v>
      </c>
    </row>
    <row r="141" customFormat="false" ht="15" hidden="false" customHeight="true" outlineLevel="0" collapsed="false">
      <c r="A141" s="1" t="s">
        <v>1134</v>
      </c>
    </row>
    <row r="142" customFormat="false" ht="15" hidden="false" customHeight="true" outlineLevel="0" collapsed="false">
      <c r="A142" s="1" t="s">
        <v>1135</v>
      </c>
    </row>
    <row r="143" customFormat="false" ht="15" hidden="false" customHeight="true" outlineLevel="0" collapsed="false">
      <c r="A143" s="1" t="s">
        <v>1136</v>
      </c>
    </row>
    <row r="144" customFormat="false" ht="15" hidden="false" customHeight="true" outlineLevel="0" collapsed="false">
      <c r="A144" s="1" t="s">
        <v>1137</v>
      </c>
    </row>
    <row r="145" customFormat="false" ht="15" hidden="false" customHeight="true" outlineLevel="0" collapsed="false">
      <c r="A145" s="1" t="s">
        <v>1138</v>
      </c>
    </row>
    <row r="146" customFormat="false" ht="15" hidden="false" customHeight="true" outlineLevel="0" collapsed="false">
      <c r="A146" s="1" t="s">
        <v>1139</v>
      </c>
    </row>
    <row r="147" customFormat="false" ht="15" hidden="false" customHeight="true" outlineLevel="0" collapsed="false">
      <c r="A147" s="1" t="s">
        <v>1140</v>
      </c>
    </row>
    <row r="148" customFormat="false" ht="15" hidden="false" customHeight="true" outlineLevel="0" collapsed="false">
      <c r="A148" s="1" t="s">
        <v>1141</v>
      </c>
    </row>
    <row r="149" customFormat="false" ht="15" hidden="false" customHeight="true" outlineLevel="0" collapsed="false">
      <c r="A149" s="1" t="s">
        <v>1142</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customHeight="false"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1143</v>
      </c>
      <c r="B1" s="4" t="s">
        <v>1144</v>
      </c>
    </row>
    <row r="2" customFormat="false" ht="15" hidden="false" customHeight="true" outlineLevel="0" collapsed="false">
      <c r="A2" s="299" t="n">
        <v>1</v>
      </c>
      <c r="B2" s="304" t="n">
        <f aca="false">(1+Assumptions!$B$26)^INT((A2-1)/12)</f>
        <v>1</v>
      </c>
    </row>
    <row r="3" customFormat="false" ht="15" hidden="false" customHeight="true" outlineLevel="0" collapsed="false">
      <c r="A3" s="299" t="n">
        <v>2</v>
      </c>
      <c r="B3" s="304" t="n">
        <f aca="false">(1+Assumptions!$B$26)^INT((A3-1)/12)</f>
        <v>1</v>
      </c>
    </row>
    <row r="4" customFormat="false" ht="15" hidden="false" customHeight="true" outlineLevel="0" collapsed="false">
      <c r="A4" s="299" t="n">
        <v>3</v>
      </c>
      <c r="B4" s="304" t="n">
        <f aca="false">(1+Assumptions!$B$26)^INT((A4-1)/12)</f>
        <v>1</v>
      </c>
    </row>
    <row r="5" customFormat="false" ht="15" hidden="false" customHeight="true" outlineLevel="0" collapsed="false">
      <c r="A5" s="299" t="n">
        <v>4</v>
      </c>
      <c r="B5" s="304" t="n">
        <f aca="false">(1+Assumptions!$B$26)^INT((A5-1)/12)</f>
        <v>1</v>
      </c>
    </row>
    <row r="6" customFormat="false" ht="15" hidden="false" customHeight="true" outlineLevel="0" collapsed="false">
      <c r="A6" s="299" t="n">
        <v>5</v>
      </c>
      <c r="B6" s="304" t="n">
        <f aca="false">(1+Assumptions!$B$26)^INT((A6-1)/12)</f>
        <v>1</v>
      </c>
    </row>
    <row r="7" customFormat="false" ht="15" hidden="false" customHeight="true" outlineLevel="0" collapsed="false">
      <c r="A7" s="299" t="n">
        <v>6</v>
      </c>
      <c r="B7" s="304" t="n">
        <f aca="false">(1+Assumptions!$B$26)^INT((A7-1)/12)</f>
        <v>1</v>
      </c>
    </row>
    <row r="8" customFormat="false" ht="15" hidden="false" customHeight="true" outlineLevel="0" collapsed="false">
      <c r="A8" s="299" t="n">
        <v>7</v>
      </c>
      <c r="B8" s="304" t="n">
        <f aca="false">(1+Assumptions!$B$26)^INT((A8-1)/12)</f>
        <v>1</v>
      </c>
    </row>
    <row r="9" customFormat="false" ht="15" hidden="false" customHeight="true" outlineLevel="0" collapsed="false">
      <c r="A9" s="299" t="n">
        <v>8</v>
      </c>
      <c r="B9" s="304" t="n">
        <f aca="false">(1+Assumptions!$B$26)^INT((A9-1)/12)</f>
        <v>1</v>
      </c>
    </row>
    <row r="10" customFormat="false" ht="15" hidden="false" customHeight="true" outlineLevel="0" collapsed="false">
      <c r="A10" s="299" t="n">
        <v>9</v>
      </c>
      <c r="B10" s="304" t="n">
        <f aca="false">(1+Assumptions!$B$26)^INT((A10-1)/12)</f>
        <v>1</v>
      </c>
    </row>
    <row r="11" customFormat="false" ht="15" hidden="false" customHeight="true" outlineLevel="0" collapsed="false">
      <c r="A11" s="299" t="n">
        <v>10</v>
      </c>
      <c r="B11" s="304" t="n">
        <f aca="false">(1+Assumptions!$B$26)^INT((A11-1)/12)</f>
        <v>1</v>
      </c>
    </row>
    <row r="12" customFormat="false" ht="15" hidden="false" customHeight="true" outlineLevel="0" collapsed="false">
      <c r="A12" s="299" t="n">
        <v>11</v>
      </c>
      <c r="B12" s="304" t="n">
        <f aca="false">(1+Assumptions!$B$26)^INT((A12-1)/12)</f>
        <v>1</v>
      </c>
    </row>
    <row r="13" customFormat="false" ht="15" hidden="false" customHeight="true" outlineLevel="0" collapsed="false">
      <c r="A13" s="299" t="n">
        <v>12</v>
      </c>
      <c r="B13" s="304" t="n">
        <f aca="false">(1+Assumptions!$B$26)^INT((A13-1)/12)</f>
        <v>1</v>
      </c>
    </row>
    <row r="14" customFormat="false" ht="15" hidden="false" customHeight="true" outlineLevel="0" collapsed="false">
      <c r="A14" s="299" t="n">
        <v>13</v>
      </c>
      <c r="B14" s="304" t="n">
        <f aca="false">(1+Assumptions!$B$26)^INT((A14-1)/12)</f>
        <v>1.02</v>
      </c>
    </row>
    <row r="15" customFormat="false" ht="15" hidden="false" customHeight="true" outlineLevel="0" collapsed="false">
      <c r="A15" s="299" t="n">
        <v>14</v>
      </c>
      <c r="B15" s="304" t="n">
        <f aca="false">(1+Assumptions!$B$26)^INT((A15-1)/12)</f>
        <v>1.02</v>
      </c>
    </row>
    <row r="16" customFormat="false" ht="15" hidden="false" customHeight="true" outlineLevel="0" collapsed="false">
      <c r="A16" s="299" t="n">
        <v>15</v>
      </c>
      <c r="B16" s="304" t="n">
        <f aca="false">(1+Assumptions!$B$26)^INT((A16-1)/12)</f>
        <v>1.02</v>
      </c>
    </row>
    <row r="17" customFormat="false" ht="15" hidden="false" customHeight="true" outlineLevel="0" collapsed="false">
      <c r="A17" s="299" t="n">
        <v>16</v>
      </c>
      <c r="B17" s="304" t="n">
        <f aca="false">(1+Assumptions!$B$26)^INT((A17-1)/12)</f>
        <v>1.02</v>
      </c>
    </row>
    <row r="18" customFormat="false" ht="15" hidden="false" customHeight="true" outlineLevel="0" collapsed="false">
      <c r="A18" s="299" t="n">
        <v>17</v>
      </c>
      <c r="B18" s="304" t="n">
        <f aca="false">(1+Assumptions!$B$26)^INT((A18-1)/12)</f>
        <v>1.02</v>
      </c>
    </row>
    <row r="19" customFormat="false" ht="15" hidden="false" customHeight="true" outlineLevel="0" collapsed="false">
      <c r="A19" s="299" t="n">
        <v>18</v>
      </c>
      <c r="B19" s="304" t="n">
        <f aca="false">(1+Assumptions!$B$26)^INT((A19-1)/12)</f>
        <v>1.02</v>
      </c>
    </row>
    <row r="20" customFormat="false" ht="15" hidden="false" customHeight="true" outlineLevel="0" collapsed="false">
      <c r="A20" s="299" t="n">
        <v>19</v>
      </c>
      <c r="B20" s="304" t="n">
        <f aca="false">(1+Assumptions!$B$26)^INT((A20-1)/12)</f>
        <v>1.02</v>
      </c>
    </row>
    <row r="21" customFormat="false" ht="15" hidden="false" customHeight="true" outlineLevel="0" collapsed="false">
      <c r="A21" s="299" t="n">
        <v>20</v>
      </c>
      <c r="B21" s="304" t="n">
        <f aca="false">(1+Assumptions!$B$26)^INT((A21-1)/12)</f>
        <v>1.02</v>
      </c>
    </row>
    <row r="22" customFormat="false" ht="15" hidden="false" customHeight="true" outlineLevel="0" collapsed="false">
      <c r="A22" s="299" t="n">
        <v>21</v>
      </c>
      <c r="B22" s="304" t="n">
        <f aca="false">(1+Assumptions!$B$26)^INT((A22-1)/12)</f>
        <v>1.02</v>
      </c>
    </row>
    <row r="23" customFormat="false" ht="15" hidden="false" customHeight="true" outlineLevel="0" collapsed="false">
      <c r="A23" s="299" t="n">
        <v>22</v>
      </c>
      <c r="B23" s="304" t="n">
        <f aca="false">(1+Assumptions!$B$26)^INT((A23-1)/12)</f>
        <v>1.02</v>
      </c>
    </row>
    <row r="24" customFormat="false" ht="15" hidden="false" customHeight="true" outlineLevel="0" collapsed="false">
      <c r="A24" s="299" t="n">
        <v>23</v>
      </c>
      <c r="B24" s="304" t="n">
        <f aca="false">(1+Assumptions!$B$26)^INT((A24-1)/12)</f>
        <v>1.02</v>
      </c>
    </row>
    <row r="25" customFormat="false" ht="15" hidden="false" customHeight="true" outlineLevel="0" collapsed="false">
      <c r="A25" s="299" t="n">
        <v>24</v>
      </c>
      <c r="B25" s="304" t="n">
        <f aca="false">(1+Assumptions!$B$26)^INT((A25-1)/12)</f>
        <v>1.02</v>
      </c>
    </row>
    <row r="26" customFormat="false" ht="15" hidden="false" customHeight="true" outlineLevel="0" collapsed="false">
      <c r="A26" s="299" t="n">
        <v>25</v>
      </c>
      <c r="B26" s="304" t="n">
        <f aca="false">(1+Assumptions!$B$26)^INT((A26-1)/12)</f>
        <v>1.0404</v>
      </c>
    </row>
    <row r="27" customFormat="false" ht="15" hidden="false" customHeight="true" outlineLevel="0" collapsed="false">
      <c r="A27" s="299" t="n">
        <v>26</v>
      </c>
      <c r="B27" s="304" t="n">
        <f aca="false">(1+Assumptions!$B$26)^INT((A27-1)/12)</f>
        <v>1.0404</v>
      </c>
    </row>
    <row r="28" customFormat="false" ht="15" hidden="false" customHeight="true" outlineLevel="0" collapsed="false">
      <c r="A28" s="299" t="n">
        <v>27</v>
      </c>
      <c r="B28" s="304" t="n">
        <f aca="false">(1+Assumptions!$B$26)^INT((A28-1)/12)</f>
        <v>1.0404</v>
      </c>
    </row>
    <row r="29" customFormat="false" ht="15" hidden="false" customHeight="true" outlineLevel="0" collapsed="false">
      <c r="A29" s="299" t="n">
        <v>28</v>
      </c>
      <c r="B29" s="304" t="n">
        <f aca="false">(1+Assumptions!$B$26)^INT((A29-1)/12)</f>
        <v>1.0404</v>
      </c>
    </row>
    <row r="30" customFormat="false" ht="15" hidden="false" customHeight="true" outlineLevel="0" collapsed="false">
      <c r="A30" s="299" t="n">
        <v>29</v>
      </c>
      <c r="B30" s="304" t="n">
        <f aca="false">(1+Assumptions!$B$26)^INT((A30-1)/12)</f>
        <v>1.0404</v>
      </c>
    </row>
    <row r="31" customFormat="false" ht="15" hidden="false" customHeight="true" outlineLevel="0" collapsed="false">
      <c r="A31" s="299" t="n">
        <v>30</v>
      </c>
      <c r="B31" s="304" t="n">
        <f aca="false">(1+Assumptions!$B$26)^INT((A31-1)/12)</f>
        <v>1.0404</v>
      </c>
    </row>
    <row r="32" customFormat="false" ht="15" hidden="false" customHeight="true" outlineLevel="0" collapsed="false">
      <c r="A32" s="299" t="n">
        <v>31</v>
      </c>
      <c r="B32" s="304" t="n">
        <f aca="false">(1+Assumptions!$B$26)^INT((A32-1)/12)</f>
        <v>1.0404</v>
      </c>
    </row>
    <row r="33" customFormat="false" ht="15" hidden="false" customHeight="true" outlineLevel="0" collapsed="false">
      <c r="A33" s="299" t="n">
        <v>32</v>
      </c>
      <c r="B33" s="304" t="n">
        <f aca="false">(1+Assumptions!$B$26)^INT((A33-1)/12)</f>
        <v>1.0404</v>
      </c>
    </row>
    <row r="34" customFormat="false" ht="15" hidden="false" customHeight="true" outlineLevel="0" collapsed="false">
      <c r="A34" s="299" t="n">
        <v>33</v>
      </c>
      <c r="B34" s="304" t="n">
        <f aca="false">(1+Assumptions!$B$26)^INT((A34-1)/12)</f>
        <v>1.0404</v>
      </c>
    </row>
    <row r="35" customFormat="false" ht="15" hidden="false" customHeight="true" outlineLevel="0" collapsed="false">
      <c r="A35" s="299" t="n">
        <v>34</v>
      </c>
      <c r="B35" s="304" t="n">
        <f aca="false">(1+Assumptions!$B$26)^INT((A35-1)/12)</f>
        <v>1.0404</v>
      </c>
    </row>
    <row r="36" customFormat="false" ht="15" hidden="false" customHeight="true" outlineLevel="0" collapsed="false">
      <c r="A36" s="299" t="n">
        <v>35</v>
      </c>
      <c r="B36" s="304" t="n">
        <f aca="false">(1+Assumptions!$B$26)^INT((A36-1)/12)</f>
        <v>1.0404</v>
      </c>
    </row>
    <row r="37" customFormat="false" ht="15" hidden="false" customHeight="true" outlineLevel="0" collapsed="false">
      <c r="A37" s="299" t="n">
        <v>36</v>
      </c>
      <c r="B37" s="304" t="n">
        <f aca="false">(1+Assumptions!$B$26)^INT((A37-1)/12)</f>
        <v>1.0404</v>
      </c>
    </row>
    <row r="38" customFormat="false" ht="15" hidden="false" customHeight="true" outlineLevel="0" collapsed="false">
      <c r="A38" s="299" t="n">
        <v>37</v>
      </c>
      <c r="B38" s="304" t="n">
        <f aca="false">(1+Assumptions!$B$26)^INT((A38-1)/12)</f>
        <v>1.061208</v>
      </c>
    </row>
    <row r="39" customFormat="false" ht="15" hidden="false" customHeight="true" outlineLevel="0" collapsed="false">
      <c r="A39" s="299" t="n">
        <v>38</v>
      </c>
      <c r="B39" s="304" t="n">
        <f aca="false">(1+Assumptions!$B$26)^INT((A39-1)/12)</f>
        <v>1.061208</v>
      </c>
    </row>
    <row r="40" customFormat="false" ht="15" hidden="false" customHeight="true" outlineLevel="0" collapsed="false">
      <c r="A40" s="299" t="n">
        <v>39</v>
      </c>
      <c r="B40" s="304" t="n">
        <f aca="false">(1+Assumptions!$B$26)^INT((A40-1)/12)</f>
        <v>1.061208</v>
      </c>
    </row>
    <row r="41" customFormat="false" ht="15" hidden="false" customHeight="true" outlineLevel="0" collapsed="false">
      <c r="A41" s="299" t="n">
        <v>40</v>
      </c>
      <c r="B41" s="304" t="n">
        <f aca="false">(1+Assumptions!$B$26)^INT((A41-1)/12)</f>
        <v>1.061208</v>
      </c>
    </row>
    <row r="42" customFormat="false" ht="15" hidden="false" customHeight="true" outlineLevel="0" collapsed="false">
      <c r="A42" s="299" t="n">
        <v>41</v>
      </c>
      <c r="B42" s="304" t="n">
        <f aca="false">(1+Assumptions!$B$26)^INT((A42-1)/12)</f>
        <v>1.061208</v>
      </c>
    </row>
    <row r="43" customFormat="false" ht="15" hidden="false" customHeight="true" outlineLevel="0" collapsed="false">
      <c r="A43" s="299" t="n">
        <v>42</v>
      </c>
      <c r="B43" s="304" t="n">
        <f aca="false">(1+Assumptions!$B$26)^INT((A43-1)/12)</f>
        <v>1.061208</v>
      </c>
    </row>
    <row r="44" customFormat="false" ht="15" hidden="false" customHeight="true" outlineLevel="0" collapsed="false">
      <c r="A44" s="299" t="n">
        <v>43</v>
      </c>
      <c r="B44" s="304" t="n">
        <f aca="false">(1+Assumptions!$B$26)^INT((A44-1)/12)</f>
        <v>1.061208</v>
      </c>
    </row>
    <row r="45" customFormat="false" ht="15" hidden="false" customHeight="true" outlineLevel="0" collapsed="false">
      <c r="A45" s="299" t="n">
        <v>44</v>
      </c>
      <c r="B45" s="304" t="n">
        <f aca="false">(1+Assumptions!$B$26)^INT((A45-1)/12)</f>
        <v>1.061208</v>
      </c>
    </row>
    <row r="46" customFormat="false" ht="15" hidden="false" customHeight="true" outlineLevel="0" collapsed="false">
      <c r="A46" s="299" t="n">
        <v>45</v>
      </c>
      <c r="B46" s="304" t="n">
        <f aca="false">(1+Assumptions!$B$26)^INT((A46-1)/12)</f>
        <v>1.061208</v>
      </c>
    </row>
    <row r="47" customFormat="false" ht="15" hidden="false" customHeight="true" outlineLevel="0" collapsed="false">
      <c r="A47" s="299" t="n">
        <v>46</v>
      </c>
      <c r="B47" s="304" t="n">
        <f aca="false">(1+Assumptions!$B$26)^INT((A47-1)/12)</f>
        <v>1.061208</v>
      </c>
    </row>
    <row r="48" customFormat="false" ht="15" hidden="false" customHeight="true" outlineLevel="0" collapsed="false">
      <c r="A48" s="299" t="n">
        <v>47</v>
      </c>
      <c r="B48" s="304" t="n">
        <f aca="false">(1+Assumptions!$B$26)^INT((A48-1)/12)</f>
        <v>1.061208</v>
      </c>
    </row>
    <row r="49" customFormat="false" ht="15" hidden="false" customHeight="true" outlineLevel="0" collapsed="false">
      <c r="A49" s="299" t="n">
        <v>48</v>
      </c>
      <c r="B49" s="304" t="n">
        <f aca="false">(1+Assumptions!$B$26)^INT((A49-1)/12)</f>
        <v>1.061208</v>
      </c>
    </row>
    <row r="50" customFormat="false" ht="15" hidden="false" customHeight="true" outlineLevel="0" collapsed="false">
      <c r="A50" s="299" t="n">
        <v>49</v>
      </c>
      <c r="B50" s="304" t="n">
        <f aca="false">(1+Assumptions!$B$26)^INT((A50-1)/12)</f>
        <v>1.08243216</v>
      </c>
    </row>
    <row r="51" customFormat="false" ht="15" hidden="false" customHeight="true" outlineLevel="0" collapsed="false">
      <c r="A51" s="299" t="n">
        <v>50</v>
      </c>
      <c r="B51" s="304" t="n">
        <f aca="false">(1+Assumptions!$B$26)^INT((A51-1)/12)</f>
        <v>1.08243216</v>
      </c>
    </row>
    <row r="52" customFormat="false" ht="15" hidden="false" customHeight="true" outlineLevel="0" collapsed="false">
      <c r="A52" s="299" t="n">
        <v>51</v>
      </c>
      <c r="B52" s="304" t="n">
        <f aca="false">(1+Assumptions!$B$26)^INT((A52-1)/12)</f>
        <v>1.08243216</v>
      </c>
    </row>
    <row r="53" customFormat="false" ht="15" hidden="false" customHeight="true" outlineLevel="0" collapsed="false">
      <c r="A53" s="299" t="n">
        <v>52</v>
      </c>
      <c r="B53" s="304" t="n">
        <f aca="false">(1+Assumptions!$B$26)^INT((A53-1)/12)</f>
        <v>1.08243216</v>
      </c>
    </row>
    <row r="54" customFormat="false" ht="15" hidden="false" customHeight="true" outlineLevel="0" collapsed="false">
      <c r="A54" s="299" t="n">
        <v>53</v>
      </c>
      <c r="B54" s="304" t="n">
        <f aca="false">(1+Assumptions!$B$26)^INT((A54-1)/12)</f>
        <v>1.08243216</v>
      </c>
    </row>
    <row r="55" customFormat="false" ht="15" hidden="false" customHeight="true" outlineLevel="0" collapsed="false">
      <c r="A55" s="299" t="n">
        <v>54</v>
      </c>
      <c r="B55" s="304" t="n">
        <f aca="false">(1+Assumptions!$B$26)^INT((A55-1)/12)</f>
        <v>1.08243216</v>
      </c>
    </row>
    <row r="56" customFormat="false" ht="15" hidden="false" customHeight="true" outlineLevel="0" collapsed="false">
      <c r="A56" s="299" t="n">
        <v>55</v>
      </c>
      <c r="B56" s="304" t="n">
        <f aca="false">(1+Assumptions!$B$26)^INT((A56-1)/12)</f>
        <v>1.08243216</v>
      </c>
    </row>
    <row r="57" customFormat="false" ht="15" hidden="false" customHeight="true" outlineLevel="0" collapsed="false">
      <c r="A57" s="299" t="n">
        <v>56</v>
      </c>
      <c r="B57" s="304" t="n">
        <f aca="false">(1+Assumptions!$B$26)^INT((A57-1)/12)</f>
        <v>1.08243216</v>
      </c>
    </row>
    <row r="58" customFormat="false" ht="15" hidden="false" customHeight="true" outlineLevel="0" collapsed="false">
      <c r="A58" s="299" t="n">
        <v>57</v>
      </c>
      <c r="B58" s="304" t="n">
        <f aca="false">(1+Assumptions!$B$26)^INT((A58-1)/12)</f>
        <v>1.08243216</v>
      </c>
    </row>
    <row r="59" customFormat="false" ht="15" hidden="false" customHeight="true" outlineLevel="0" collapsed="false">
      <c r="A59" s="299" t="n">
        <v>58</v>
      </c>
      <c r="B59" s="304" t="n">
        <f aca="false">(1+Assumptions!$B$26)^INT((A59-1)/12)</f>
        <v>1.08243216</v>
      </c>
    </row>
    <row r="60" customFormat="false" ht="15" hidden="false" customHeight="true" outlineLevel="0" collapsed="false">
      <c r="A60" s="299" t="n">
        <v>59</v>
      </c>
      <c r="B60" s="304" t="n">
        <f aca="false">(1+Assumptions!$B$26)^INT((A60-1)/12)</f>
        <v>1.08243216</v>
      </c>
    </row>
    <row r="61" customFormat="false" ht="15" hidden="false" customHeight="true" outlineLevel="0" collapsed="false">
      <c r="A61" s="299" t="n">
        <v>60</v>
      </c>
      <c r="B61" s="304" t="n">
        <f aca="false">(1+Assumptions!$B$26)^INT((A61-1)/12)</f>
        <v>1.08243216</v>
      </c>
    </row>
    <row r="62" customFormat="false" ht="15" hidden="false" customHeight="true" outlineLevel="0" collapsed="false">
      <c r="A62" s="299" t="n">
        <v>61</v>
      </c>
      <c r="B62" s="304" t="n">
        <f aca="false">(1+Assumptions!$B$26)^INT((A62-1)/12)</f>
        <v>1.1040808032</v>
      </c>
    </row>
    <row r="63" customFormat="false" ht="15" hidden="false" customHeight="true" outlineLevel="0" collapsed="false">
      <c r="A63" s="299" t="n">
        <v>62</v>
      </c>
      <c r="B63" s="304" t="n">
        <f aca="false">(1+Assumptions!$B$26)^INT((A63-1)/12)</f>
        <v>1.1040808032</v>
      </c>
    </row>
    <row r="64" customFormat="false" ht="15" hidden="false" customHeight="true" outlineLevel="0" collapsed="false">
      <c r="A64" s="299" t="n">
        <v>63</v>
      </c>
      <c r="B64" s="304" t="n">
        <f aca="false">(1+Assumptions!$B$26)^INT((A64-1)/12)</f>
        <v>1.1040808032</v>
      </c>
    </row>
    <row r="65" customFormat="false" ht="15" hidden="false" customHeight="true" outlineLevel="0" collapsed="false">
      <c r="A65" s="299" t="n">
        <v>64</v>
      </c>
      <c r="B65" s="304" t="n">
        <f aca="false">(1+Assumptions!$B$26)^INT((A65-1)/12)</f>
        <v>1.1040808032</v>
      </c>
    </row>
    <row r="66" customFormat="false" ht="15" hidden="false" customHeight="true" outlineLevel="0" collapsed="false">
      <c r="A66" s="299" t="n">
        <v>65</v>
      </c>
      <c r="B66" s="304" t="n">
        <f aca="false">(1+Assumptions!$B$26)^INT((A66-1)/12)</f>
        <v>1.1040808032</v>
      </c>
    </row>
    <row r="67" customFormat="false" ht="15" hidden="false" customHeight="true" outlineLevel="0" collapsed="false">
      <c r="A67" s="299" t="n">
        <v>66</v>
      </c>
      <c r="B67" s="304" t="n">
        <f aca="false">(1+Assumptions!$B$26)^INT((A67-1)/12)</f>
        <v>1.1040808032</v>
      </c>
    </row>
    <row r="68" customFormat="false" ht="15" hidden="false" customHeight="true" outlineLevel="0" collapsed="false">
      <c r="A68" s="299" t="n">
        <v>67</v>
      </c>
      <c r="B68" s="304" t="n">
        <f aca="false">(1+Assumptions!$B$26)^INT((A68-1)/12)</f>
        <v>1.1040808032</v>
      </c>
    </row>
    <row r="69" customFormat="false" ht="15" hidden="false" customHeight="true" outlineLevel="0" collapsed="false">
      <c r="A69" s="299" t="n">
        <v>68</v>
      </c>
      <c r="B69" s="304" t="n">
        <f aca="false">(1+Assumptions!$B$26)^INT((A69-1)/12)</f>
        <v>1.1040808032</v>
      </c>
    </row>
    <row r="70" customFormat="false" ht="15" hidden="false" customHeight="true" outlineLevel="0" collapsed="false">
      <c r="A70" s="299" t="n">
        <v>69</v>
      </c>
      <c r="B70" s="304" t="n">
        <f aca="false">(1+Assumptions!$B$26)^INT((A70-1)/12)</f>
        <v>1.1040808032</v>
      </c>
    </row>
    <row r="71" customFormat="false" ht="15" hidden="false" customHeight="true" outlineLevel="0" collapsed="false">
      <c r="A71" s="299" t="n">
        <v>70</v>
      </c>
      <c r="B71" s="304" t="n">
        <f aca="false">(1+Assumptions!$B$26)^INT((A71-1)/12)</f>
        <v>1.1040808032</v>
      </c>
    </row>
    <row r="72" customFormat="false" ht="15" hidden="false" customHeight="true" outlineLevel="0" collapsed="false">
      <c r="A72" s="299" t="n">
        <v>71</v>
      </c>
      <c r="B72" s="304" t="n">
        <f aca="false">(1+Assumptions!$B$26)^INT((A72-1)/12)</f>
        <v>1.1040808032</v>
      </c>
    </row>
    <row r="73" customFormat="false" ht="15" hidden="false" customHeight="true" outlineLevel="0" collapsed="false">
      <c r="A73" s="299" t="n">
        <v>72</v>
      </c>
      <c r="B73" s="304" t="n">
        <f aca="false">(1+Assumptions!$B$26)^INT((A73-1)/12)</f>
        <v>1.1040808032</v>
      </c>
    </row>
    <row r="74" customFormat="false" ht="15" hidden="false" customHeight="true" outlineLevel="0" collapsed="false">
      <c r="A74" s="299" t="n">
        <v>73</v>
      </c>
      <c r="B74" s="304" t="n">
        <f aca="false">(1+Assumptions!$B$26)^INT((A74-1)/12)</f>
        <v>1.126162419264</v>
      </c>
    </row>
    <row r="75" customFormat="false" ht="15" hidden="false" customHeight="true" outlineLevel="0" collapsed="false">
      <c r="A75" s="299" t="n">
        <v>74</v>
      </c>
      <c r="B75" s="304" t="n">
        <f aca="false">(1+Assumptions!$B$26)^INT((A75-1)/12)</f>
        <v>1.126162419264</v>
      </c>
    </row>
    <row r="76" customFormat="false" ht="15" hidden="false" customHeight="true" outlineLevel="0" collapsed="false">
      <c r="A76" s="299" t="n">
        <v>75</v>
      </c>
      <c r="B76" s="304" t="n">
        <f aca="false">(1+Assumptions!$B$26)^INT((A76-1)/12)</f>
        <v>1.126162419264</v>
      </c>
    </row>
    <row r="77" customFormat="false" ht="15" hidden="false" customHeight="true" outlineLevel="0" collapsed="false">
      <c r="A77" s="299" t="n">
        <v>76</v>
      </c>
      <c r="B77" s="304" t="n">
        <f aca="false">(1+Assumptions!$B$26)^INT((A77-1)/12)</f>
        <v>1.126162419264</v>
      </c>
    </row>
    <row r="78" customFormat="false" ht="15" hidden="false" customHeight="true" outlineLevel="0" collapsed="false">
      <c r="A78" s="299" t="n">
        <v>77</v>
      </c>
      <c r="B78" s="304" t="n">
        <f aca="false">(1+Assumptions!$B$26)^INT((A78-1)/12)</f>
        <v>1.126162419264</v>
      </c>
    </row>
    <row r="79" customFormat="false" ht="15" hidden="false" customHeight="true" outlineLevel="0" collapsed="false">
      <c r="A79" s="299" t="n">
        <v>78</v>
      </c>
      <c r="B79" s="304" t="n">
        <f aca="false">(1+Assumptions!$B$26)^INT((A79-1)/12)</f>
        <v>1.126162419264</v>
      </c>
    </row>
    <row r="80" customFormat="false" ht="15" hidden="false" customHeight="true" outlineLevel="0" collapsed="false">
      <c r="A80" s="299" t="n">
        <v>79</v>
      </c>
      <c r="B80" s="304" t="n">
        <f aca="false">(1+Assumptions!$B$26)^INT((A80-1)/12)</f>
        <v>1.126162419264</v>
      </c>
    </row>
    <row r="81" customFormat="false" ht="15" hidden="false" customHeight="true" outlineLevel="0" collapsed="false">
      <c r="A81" s="299" t="n">
        <v>80</v>
      </c>
      <c r="B81" s="304" t="n">
        <f aca="false">(1+Assumptions!$B$26)^INT((A81-1)/12)</f>
        <v>1.126162419264</v>
      </c>
    </row>
    <row r="82" customFormat="false" ht="15" hidden="false" customHeight="true" outlineLevel="0" collapsed="false">
      <c r="A82" s="299" t="n">
        <v>81</v>
      </c>
      <c r="B82" s="304" t="n">
        <f aca="false">(1+Assumptions!$B$26)^INT((A82-1)/12)</f>
        <v>1.126162419264</v>
      </c>
    </row>
    <row r="83" customFormat="false" ht="15" hidden="false" customHeight="true" outlineLevel="0" collapsed="false">
      <c r="A83" s="299" t="n">
        <v>82</v>
      </c>
      <c r="B83" s="304" t="n">
        <f aca="false">(1+Assumptions!$B$26)^INT((A83-1)/12)</f>
        <v>1.126162419264</v>
      </c>
    </row>
    <row r="84" customFormat="false" ht="15" hidden="false" customHeight="true" outlineLevel="0" collapsed="false">
      <c r="A84" s="299" t="n">
        <v>83</v>
      </c>
      <c r="B84" s="304" t="n">
        <f aca="false">(1+Assumptions!$B$26)^INT((A84-1)/12)</f>
        <v>1.126162419264</v>
      </c>
    </row>
    <row r="85" customFormat="false" ht="15" hidden="false" customHeight="true" outlineLevel="0" collapsed="false">
      <c r="A85" s="299" t="n">
        <v>84</v>
      </c>
      <c r="B85" s="304"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4" t="s">
        <v>1145</v>
      </c>
      <c r="B1" s="284"/>
      <c r="C1" s="284"/>
      <c r="D1" s="28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299" t="n">
        <v>1</v>
      </c>
      <c r="D3" s="299" t="n">
        <v>2</v>
      </c>
      <c r="E3" s="299" t="n">
        <v>3</v>
      </c>
      <c r="F3" s="299" t="n">
        <v>4</v>
      </c>
      <c r="G3" s="299" t="n">
        <v>5</v>
      </c>
      <c r="H3" s="299" t="n">
        <v>6</v>
      </c>
      <c r="I3" s="299" t="n">
        <v>7</v>
      </c>
      <c r="J3" s="299" t="n">
        <v>8</v>
      </c>
      <c r="K3" s="299" t="n">
        <v>9</v>
      </c>
      <c r="L3" s="299" t="n">
        <v>10</v>
      </c>
      <c r="M3" s="299" t="n">
        <v>11</v>
      </c>
      <c r="N3" s="299" t="n">
        <v>12</v>
      </c>
      <c r="O3" s="299" t="n">
        <v>13</v>
      </c>
      <c r="P3" s="299" t="n">
        <v>14</v>
      </c>
      <c r="Q3" s="299" t="n">
        <v>15</v>
      </c>
      <c r="R3" s="299" t="n">
        <v>16</v>
      </c>
      <c r="S3" s="299" t="n">
        <v>17</v>
      </c>
      <c r="T3" s="299" t="n">
        <v>18</v>
      </c>
      <c r="U3" s="299" t="n">
        <v>19</v>
      </c>
      <c r="V3" s="299" t="n">
        <v>20</v>
      </c>
      <c r="W3" s="299" t="n">
        <v>21</v>
      </c>
      <c r="X3" s="299" t="n">
        <v>22</v>
      </c>
      <c r="Y3" s="299" t="n">
        <v>23</v>
      </c>
      <c r="Z3" s="299" t="n">
        <v>24</v>
      </c>
      <c r="AA3" s="299" t="n">
        <v>25</v>
      </c>
      <c r="AB3" s="299" t="n">
        <v>26</v>
      </c>
      <c r="AC3" s="299" t="n">
        <v>27</v>
      </c>
      <c r="AD3" s="299" t="n">
        <v>28</v>
      </c>
      <c r="AE3" s="299" t="n">
        <v>29</v>
      </c>
      <c r="AF3" s="299" t="n">
        <v>30</v>
      </c>
      <c r="AG3" s="299" t="n">
        <v>31</v>
      </c>
      <c r="AH3" s="299" t="n">
        <v>32</v>
      </c>
      <c r="AI3" s="299" t="n">
        <v>33</v>
      </c>
      <c r="AJ3" s="299" t="n">
        <v>34</v>
      </c>
      <c r="AK3" s="299" t="n">
        <v>35</v>
      </c>
      <c r="AL3" s="299" t="n">
        <v>36</v>
      </c>
      <c r="AM3" s="299" t="n">
        <v>37</v>
      </c>
      <c r="AN3" s="299" t="n">
        <v>38</v>
      </c>
      <c r="AO3" s="299" t="n">
        <v>39</v>
      </c>
      <c r="AP3" s="299" t="n">
        <v>40</v>
      </c>
      <c r="AQ3" s="299" t="n">
        <v>41</v>
      </c>
      <c r="AR3" s="299" t="n">
        <v>42</v>
      </c>
      <c r="AS3" s="299" t="n">
        <v>43</v>
      </c>
      <c r="AT3" s="299" t="n">
        <v>44</v>
      </c>
      <c r="AU3" s="299" t="n">
        <v>45</v>
      </c>
      <c r="AV3" s="299" t="n">
        <v>46</v>
      </c>
      <c r="AW3" s="299" t="n">
        <v>47</v>
      </c>
      <c r="AX3" s="299" t="n">
        <v>48</v>
      </c>
      <c r="AY3" s="299" t="n">
        <v>49</v>
      </c>
      <c r="AZ3" s="299" t="n">
        <v>50</v>
      </c>
      <c r="BA3" s="299" t="n">
        <v>51</v>
      </c>
      <c r="BB3" s="299" t="n">
        <v>52</v>
      </c>
      <c r="BC3" s="299" t="n">
        <v>53</v>
      </c>
      <c r="BD3" s="299" t="n">
        <v>54</v>
      </c>
      <c r="BE3" s="299" t="n">
        <v>55</v>
      </c>
      <c r="BF3" s="299" t="n">
        <v>56</v>
      </c>
      <c r="BG3" s="299" t="n">
        <v>57</v>
      </c>
      <c r="BH3" s="299" t="n">
        <v>58</v>
      </c>
      <c r="BI3" s="299" t="n">
        <v>59</v>
      </c>
      <c r="BJ3" s="299" t="n">
        <v>60</v>
      </c>
      <c r="BK3" s="299" t="n">
        <v>61</v>
      </c>
      <c r="BL3" s="299" t="n">
        <v>62</v>
      </c>
      <c r="BM3" s="299" t="n">
        <v>63</v>
      </c>
      <c r="BN3" s="299" t="n">
        <v>64</v>
      </c>
      <c r="BO3" s="299" t="n">
        <v>65</v>
      </c>
      <c r="BP3" s="299" t="n">
        <v>66</v>
      </c>
      <c r="BQ3" s="299" t="n">
        <v>67</v>
      </c>
      <c r="BR3" s="299" t="n">
        <v>68</v>
      </c>
      <c r="BS3" s="299" t="n">
        <v>69</v>
      </c>
      <c r="BT3" s="299" t="n">
        <v>70</v>
      </c>
      <c r="BU3" s="299" t="n">
        <v>71</v>
      </c>
      <c r="BV3" s="299" t="n">
        <v>72</v>
      </c>
      <c r="BW3" s="299" t="n">
        <v>73</v>
      </c>
      <c r="BX3" s="299" t="n">
        <v>74</v>
      </c>
      <c r="BY3" s="299" t="n">
        <v>75</v>
      </c>
      <c r="BZ3" s="299" t="n">
        <v>76</v>
      </c>
      <c r="CA3" s="299" t="n">
        <v>77</v>
      </c>
      <c r="CB3" s="299" t="n">
        <v>78</v>
      </c>
      <c r="CC3" s="299" t="n">
        <v>79</v>
      </c>
      <c r="CD3" s="299" t="n">
        <v>80</v>
      </c>
      <c r="CE3" s="299" t="n">
        <v>81</v>
      </c>
      <c r="CF3" s="299" t="n">
        <v>82</v>
      </c>
      <c r="CG3" s="299" t="n">
        <v>83</v>
      </c>
      <c r="CH3" s="299" t="n">
        <v>84</v>
      </c>
      <c r="CI3" s="299" t="n">
        <v>84</v>
      </c>
      <c r="CJ3" s="299" t="n">
        <v>84</v>
      </c>
      <c r="CK3" s="299" t="n">
        <v>84</v>
      </c>
      <c r="CL3" s="299" t="n">
        <v>84</v>
      </c>
      <c r="CM3" s="299" t="n">
        <v>84</v>
      </c>
      <c r="CN3" s="299" t="n">
        <v>84</v>
      </c>
      <c r="CO3" s="299" t="n">
        <v>84</v>
      </c>
      <c r="CP3" s="299" t="n">
        <v>84</v>
      </c>
      <c r="CQ3" s="299" t="n">
        <v>84</v>
      </c>
    </row>
    <row r="4" customFormat="false" ht="15" hidden="false" customHeight="true" outlineLevel="0" collapsed="false">
      <c r="A4" s="177" t="s">
        <v>1146</v>
      </c>
      <c r="C4" s="289" t="n">
        <f aca="false">(SUMPRODUCT((Personnel!$O$9:$O$100&lt;&gt;"")*(Personnel!$G$9:$G$100="Yes")*(1&gt;=Personnel!$E$9:$E$100)*((Personnel!$K$9:$K$100="")+(1&lt;=Personnel!$K$9:$K$100)&gt;0)*Personnel!$D$9:$D$100*(1-Personnel!$H$9:$H$100))+Staffing!E81)*Escalation!$B$2</f>
        <v>225047.666666667</v>
      </c>
      <c r="D4" s="289" t="n">
        <f aca="false">(SUMPRODUCT((Personnel!$O$9:$O$100&lt;&gt;"")*(Personnel!$G$9:$G$100="Yes")*(2&gt;=Personnel!$E$9:$E$100)*((Personnel!$K$9:$K$100="")+(2&lt;=Personnel!$K$9:$K$100)&gt;0)*Personnel!$D$9:$D$100*(1-Personnel!$H$9:$H$100))+Staffing!F81)*Escalation!$B$3</f>
        <v>249631</v>
      </c>
      <c r="E4" s="289" t="n">
        <f aca="false">(SUMPRODUCT((Personnel!$O$9:$O$100&lt;&gt;"")*(Personnel!$G$9:$G$100="Yes")*(3&gt;=Personnel!$E$9:$E$100)*((Personnel!$K$9:$K$100="")+(3&lt;=Personnel!$K$9:$K$100)&gt;0)*Personnel!$D$9:$D$100*(1-Personnel!$H$9:$H$100))+Staffing!G81)*Escalation!$B$4</f>
        <v>274631</v>
      </c>
      <c r="F4" s="289" t="n">
        <f aca="false">(SUMPRODUCT((Personnel!$O$9:$O$100&lt;&gt;"")*(Personnel!$G$9:$G$100="Yes")*(4&gt;=Personnel!$E$9:$E$100)*((Personnel!$K$9:$K$100="")+(4&lt;=Personnel!$K$9:$K$100)&gt;0)*Personnel!$D$9:$D$100*(1-Personnel!$H$9:$H$100))+Staffing!H81)*Escalation!$B$5</f>
        <v>288797.666666667</v>
      </c>
      <c r="G4" s="289" t="n">
        <f aca="false">(SUMPRODUCT((Personnel!$O$9:$O$100&lt;&gt;"")*(Personnel!$G$9:$G$100="Yes")*(5&gt;=Personnel!$E$9:$E$100)*((Personnel!$K$9:$K$100="")+(5&lt;=Personnel!$K$9:$K$100)&gt;0)*Personnel!$D$9:$D$100*(1-Personnel!$H$9:$H$100))+Staffing!I81)*Escalation!$B$6</f>
        <v>300881</v>
      </c>
      <c r="H4" s="289" t="n">
        <f aca="false">(SUMPRODUCT((Personnel!$O$9:$O$100&lt;&gt;"")*(Personnel!$G$9:$G$100="Yes")*(6&gt;=Personnel!$E$9:$E$100)*((Personnel!$K$9:$K$100="")+(6&lt;=Personnel!$K$9:$K$100)&gt;0)*Personnel!$D$9:$D$100*(1-Personnel!$H$9:$H$100))+Staffing!J81)*Escalation!$B$7</f>
        <v>313797.666666667</v>
      </c>
      <c r="I4" s="289" t="n">
        <f aca="false">(SUMPRODUCT((Personnel!$O$9:$O$100&lt;&gt;"")*(Personnel!$G$9:$G$100="Yes")*(7&gt;=Personnel!$E$9:$E$100)*((Personnel!$K$9:$K$100="")+(7&lt;=Personnel!$K$9:$K$100)&gt;0)*Personnel!$D$9:$D$100*(1-Personnel!$H$9:$H$100))+Staffing!K81)*Escalation!$B$8</f>
        <v>313797.666666667</v>
      </c>
      <c r="J4" s="289" t="n">
        <f aca="false">(SUMPRODUCT((Personnel!$O$9:$O$100&lt;&gt;"")*(Personnel!$G$9:$G$100="Yes")*(8&gt;=Personnel!$E$9:$E$100)*((Personnel!$K$9:$K$100="")+(8&lt;=Personnel!$K$9:$K$100)&gt;0)*Personnel!$D$9:$D$100*(1-Personnel!$H$9:$H$100))+Staffing!L81)*Escalation!$B$9</f>
        <v>313797.666666667</v>
      </c>
      <c r="K4" s="289" t="n">
        <f aca="false">(SUMPRODUCT((Personnel!$O$9:$O$100&lt;&gt;"")*(Personnel!$G$9:$G$100="Yes")*(9&gt;=Personnel!$E$9:$E$100)*((Personnel!$K$9:$K$100="")+(9&lt;=Personnel!$K$9:$K$100)&gt;0)*Personnel!$D$9:$D$100*(1-Personnel!$H$9:$H$100))+Staffing!M81)*Escalation!$B$10</f>
        <v>337547.666666667</v>
      </c>
      <c r="L4" s="289" t="n">
        <f aca="false">(SUMPRODUCT((Personnel!$O$9:$O$100&lt;&gt;"")*(Personnel!$G$9:$G$100="Yes")*(10&gt;=Personnel!$E$9:$E$100)*((Personnel!$K$9:$K$100="")+(10&lt;=Personnel!$K$9:$K$100)&gt;0)*Personnel!$D$9:$D$100*(1-Personnel!$H$9:$H$100))+Staffing!N81)*Escalation!$B$11</f>
        <v>358797.666666667</v>
      </c>
      <c r="M4" s="289" t="n">
        <f aca="false">(SUMPRODUCT((Personnel!$O$9:$O$100&lt;&gt;"")*(Personnel!$G$9:$G$100="Yes")*(11&gt;=Personnel!$E$9:$E$100)*((Personnel!$K$9:$K$100="")+(11&lt;=Personnel!$K$9:$K$100)&gt;0)*Personnel!$D$9:$D$100*(1-Personnel!$H$9:$H$100))+Staffing!O81)*Escalation!$B$12</f>
        <v>404214.333333333</v>
      </c>
      <c r="N4" s="289" t="n">
        <f aca="false">(SUMPRODUCT((Personnel!$O$9:$O$100&lt;&gt;"")*(Personnel!$G$9:$G$100="Yes")*(12&gt;=Personnel!$E$9:$E$100)*((Personnel!$K$9:$K$100="")+(12&lt;=Personnel!$K$9:$K$100)&gt;0)*Personnel!$D$9:$D$100*(1-Personnel!$H$9:$H$100))+Staffing!P81)*Escalation!$B$13</f>
        <v>404214.333333333</v>
      </c>
      <c r="O4" s="289" t="n">
        <f aca="false">(SUMPRODUCT((Personnel!$O$9:$O$100&lt;&gt;"")*(Personnel!$G$9:$G$100="Yes")*(13&gt;=Personnel!$E$9:$E$100)*((Personnel!$K$9:$K$100="")+(13&lt;=Personnel!$K$9:$K$100)&gt;0)*Personnel!$D$9:$D$100*(1-Personnel!$H$9:$H$100))+Staffing!Q81)*Escalation!$B$14</f>
        <v>412298.62</v>
      </c>
      <c r="P4" s="289" t="n">
        <f aca="false">(SUMPRODUCT((Personnel!$O$9:$O$100&lt;&gt;"")*(Personnel!$G$9:$G$100="Yes")*(14&gt;=Personnel!$E$9:$E$100)*((Personnel!$K$9:$K$100="")+(14&lt;=Personnel!$K$9:$K$100)&gt;0)*Personnel!$D$9:$D$100*(1-Personnel!$H$9:$H$100))+Staffing!R81)*Escalation!$B$15</f>
        <v>412298.62</v>
      </c>
      <c r="Q4" s="289" t="n">
        <f aca="false">(SUMPRODUCT((Personnel!$O$9:$O$100&lt;&gt;"")*(Personnel!$G$9:$G$100="Yes")*(15&gt;=Personnel!$E$9:$E$100)*((Personnel!$K$9:$K$100="")+(15&lt;=Personnel!$K$9:$K$100)&gt;0)*Personnel!$D$9:$D$100*(1-Personnel!$H$9:$H$100))+Staffing!S81)*Escalation!$B$16</f>
        <v>412298.62</v>
      </c>
      <c r="R4" s="289" t="n">
        <f aca="false">(SUMPRODUCT((Personnel!$O$9:$O$100&lt;&gt;"")*(Personnel!$G$9:$G$100="Yes")*(16&gt;=Personnel!$E$9:$E$100)*((Personnel!$K$9:$K$100="")+(16&lt;=Personnel!$K$9:$K$100)&gt;0)*Personnel!$D$9:$D$100*(1-Personnel!$H$9:$H$100))+Staffing!T81)*Escalation!$B$17</f>
        <v>412298.62</v>
      </c>
      <c r="S4" s="289" t="n">
        <f aca="false">(SUMPRODUCT((Personnel!$O$9:$O$100&lt;&gt;"")*(Personnel!$G$9:$G$100="Yes")*(17&gt;=Personnel!$E$9:$E$100)*((Personnel!$K$9:$K$100="")+(17&lt;=Personnel!$K$9:$K$100)&gt;0)*Personnel!$D$9:$D$100*(1-Personnel!$H$9:$H$100))+Staffing!U81)*Escalation!$B$18</f>
        <v>412298.62</v>
      </c>
      <c r="T4" s="289" t="n">
        <f aca="false">(SUMPRODUCT((Personnel!$O$9:$O$100&lt;&gt;"")*(Personnel!$G$9:$G$100="Yes")*(18&gt;=Personnel!$E$9:$E$100)*((Personnel!$K$9:$K$100="")+(18&lt;=Personnel!$K$9:$K$100)&gt;0)*Personnel!$D$9:$D$100*(1-Personnel!$H$9:$H$100))+Staffing!V81)*Escalation!$B$19</f>
        <v>396998.62</v>
      </c>
      <c r="U4" s="289" t="n">
        <f aca="false">(SUMPRODUCT((Personnel!$O$9:$O$100&lt;&gt;"")*(Personnel!$G$9:$G$100="Yes")*(19&gt;=Personnel!$E$9:$E$100)*((Personnel!$K$9:$K$100="")+(19&lt;=Personnel!$K$9:$K$100)&gt;0)*Personnel!$D$9:$D$100*(1-Personnel!$H$9:$H$100))+Staffing!W81)*Escalation!$B$20</f>
        <v>396998.62</v>
      </c>
      <c r="V4" s="289" t="n">
        <f aca="false">(SUMPRODUCT((Personnel!$O$9:$O$100&lt;&gt;"")*(Personnel!$G$9:$G$100="Yes")*(20&gt;=Personnel!$E$9:$E$100)*((Personnel!$K$9:$K$100="")+(20&lt;=Personnel!$K$9:$K$100)&gt;0)*Personnel!$D$9:$D$100*(1-Personnel!$H$9:$H$100))+Staffing!X81)*Escalation!$B$21</f>
        <v>396998.62</v>
      </c>
      <c r="W4" s="289" t="n">
        <f aca="false">(SUMPRODUCT((Personnel!$O$9:$O$100&lt;&gt;"")*(Personnel!$G$9:$G$100="Yes")*(21&gt;=Personnel!$E$9:$E$100)*((Personnel!$K$9:$K$100="")+(21&lt;=Personnel!$K$9:$K$100)&gt;0)*Personnel!$D$9:$D$100*(1-Personnel!$H$9:$H$100))+Staffing!Y81)*Escalation!$B$22</f>
        <v>390198.62</v>
      </c>
      <c r="X4" s="289" t="n">
        <f aca="false">(SUMPRODUCT((Personnel!$O$9:$O$100&lt;&gt;"")*(Personnel!$G$9:$G$100="Yes")*(22&gt;=Personnel!$E$9:$E$100)*((Personnel!$K$9:$K$100="")+(22&lt;=Personnel!$K$9:$K$100)&gt;0)*Personnel!$D$9:$D$100*(1-Personnel!$H$9:$H$100))+Staffing!Z81)*Escalation!$B$23</f>
        <v>354923.62</v>
      </c>
      <c r="Y4" s="289" t="n">
        <f aca="false">(SUMPRODUCT((Personnel!$O$9:$O$100&lt;&gt;"")*(Personnel!$G$9:$G$100="Yes")*(23&gt;=Personnel!$E$9:$E$100)*((Personnel!$K$9:$K$100="")+(23&lt;=Personnel!$K$9:$K$100)&gt;0)*Personnel!$D$9:$D$100*(1-Personnel!$H$9:$H$100))+Staffing!AA81)*Escalation!$B$24</f>
        <v>354923.62</v>
      </c>
      <c r="Z4" s="289" t="n">
        <f aca="false">(SUMPRODUCT((Personnel!$O$9:$O$100&lt;&gt;"")*(Personnel!$G$9:$G$100="Yes")*(24&gt;=Personnel!$E$9:$E$100)*((Personnel!$K$9:$K$100="")+(24&lt;=Personnel!$K$9:$K$100)&gt;0)*Personnel!$D$9:$D$100*(1-Personnel!$H$9:$H$100))+Staffing!AB81)*Escalation!$B$25</f>
        <v>341323.62</v>
      </c>
      <c r="AA4" s="289" t="n">
        <f aca="false">(SUMPRODUCT((Personnel!$O$9:$O$100&lt;&gt;"")*(Personnel!$G$9:$G$100="Yes")*(25&gt;=Personnel!$E$9:$E$100)*((Personnel!$K$9:$K$100="")+(25&lt;=Personnel!$K$9:$K$100)&gt;0)*Personnel!$D$9:$D$100*(1-Personnel!$H$9:$H$100))+Staffing!AC81)*Escalation!$B$26</f>
        <v>323440.5924</v>
      </c>
      <c r="AB4" s="289" t="n">
        <f aca="false">(SUMPRODUCT((Personnel!$O$9:$O$100&lt;&gt;"")*(Personnel!$G$9:$G$100="Yes")*(26&gt;=Personnel!$E$9:$E$100)*((Personnel!$K$9:$K$100="")+(26&lt;=Personnel!$K$9:$K$100)&gt;0)*Personnel!$D$9:$D$100*(1-Personnel!$H$9:$H$100))+Staffing!AD81)*Escalation!$B$27</f>
        <v>323440.5924</v>
      </c>
      <c r="AC4" s="289" t="n">
        <f aca="false">(SUMPRODUCT((Personnel!$O$9:$O$100&lt;&gt;"")*(Personnel!$G$9:$G$100="Yes")*(27&gt;=Personnel!$E$9:$E$100)*((Personnel!$K$9:$K$100="")+(27&lt;=Personnel!$K$9:$K$100)&gt;0)*Personnel!$D$9:$D$100*(1-Personnel!$H$9:$H$100))+Staffing!AE81)*Escalation!$B$28</f>
        <v>323440.5924</v>
      </c>
      <c r="AD4" s="289" t="n">
        <f aca="false">(SUMPRODUCT((Personnel!$O$9:$O$100&lt;&gt;"")*(Personnel!$G$9:$G$100="Yes")*(28&gt;=Personnel!$E$9:$E$100)*((Personnel!$K$9:$K$100="")+(28&lt;=Personnel!$K$9:$K$100)&gt;0)*Personnel!$D$9:$D$100*(1-Personnel!$H$9:$H$100))+Staffing!AF81)*Escalation!$B$29</f>
        <v>323440.5924</v>
      </c>
      <c r="AE4" s="289" t="n">
        <f aca="false">(SUMPRODUCT((Personnel!$O$9:$O$100&lt;&gt;"")*(Personnel!$G$9:$G$100="Yes")*(29&gt;=Personnel!$E$9:$E$100)*((Personnel!$K$9:$K$100="")+(29&lt;=Personnel!$K$9:$K$100)&gt;0)*Personnel!$D$9:$D$100*(1-Personnel!$H$9:$H$100))+Staffing!AG81)*Escalation!$B$30</f>
        <v>323440.5924</v>
      </c>
      <c r="AF4" s="289" t="n">
        <f aca="false">(SUMPRODUCT((Personnel!$O$9:$O$100&lt;&gt;"")*(Personnel!$G$9:$G$100="Yes")*(30&gt;=Personnel!$E$9:$E$100)*((Personnel!$K$9:$K$100="")+(30&lt;=Personnel!$K$9:$K$100)&gt;0)*Personnel!$D$9:$D$100*(1-Personnel!$H$9:$H$100))+Staffing!AH81)*Escalation!$B$31</f>
        <v>323440.5924</v>
      </c>
      <c r="AG4" s="289" t="n">
        <f aca="false">(SUMPRODUCT((Personnel!$O$9:$O$100&lt;&gt;"")*(Personnel!$G$9:$G$100="Yes")*(31&gt;=Personnel!$E$9:$E$100)*((Personnel!$K$9:$K$100="")+(31&lt;=Personnel!$K$9:$K$100)&gt;0)*Personnel!$D$9:$D$100*(1-Personnel!$H$9:$H$100))+Staffing!AI81)*Escalation!$B$32</f>
        <v>323440.5924</v>
      </c>
      <c r="AH4" s="289" t="n">
        <f aca="false">(SUMPRODUCT((Personnel!$O$9:$O$100&lt;&gt;"")*(Personnel!$G$9:$G$100="Yes")*(32&gt;=Personnel!$E$9:$E$100)*((Personnel!$K$9:$K$100="")+(32&lt;=Personnel!$K$9:$K$100)&gt;0)*Personnel!$D$9:$D$100*(1-Personnel!$H$9:$H$100))+Staffing!AJ81)*Escalation!$B$33</f>
        <v>323440.5924</v>
      </c>
      <c r="AI4" s="289" t="n">
        <f aca="false">(SUMPRODUCT((Personnel!$O$9:$O$100&lt;&gt;"")*(Personnel!$G$9:$G$100="Yes")*(33&gt;=Personnel!$E$9:$E$100)*((Personnel!$K$9:$K$100="")+(33&lt;=Personnel!$K$9:$K$100)&gt;0)*Personnel!$D$9:$D$100*(1-Personnel!$H$9:$H$100))+Staffing!AK81)*Escalation!$B$34</f>
        <v>323440.5924</v>
      </c>
      <c r="AJ4" s="289" t="n">
        <f aca="false">(SUMPRODUCT((Personnel!$O$9:$O$100&lt;&gt;"")*(Personnel!$G$9:$G$100="Yes")*(34&gt;=Personnel!$E$9:$E$100)*((Personnel!$K$9:$K$100="")+(34&lt;=Personnel!$K$9:$K$100)&gt;0)*Personnel!$D$9:$D$100*(1-Personnel!$H$9:$H$100))+Staffing!AL81)*Escalation!$B$35</f>
        <v>323440.5924</v>
      </c>
      <c r="AK4" s="289" t="n">
        <f aca="false">(SUMPRODUCT((Personnel!$O$9:$O$100&lt;&gt;"")*(Personnel!$G$9:$G$100="Yes")*(35&gt;=Personnel!$E$9:$E$100)*((Personnel!$K$9:$K$100="")+(35&lt;=Personnel!$K$9:$K$100)&gt;0)*Personnel!$D$9:$D$100*(1-Personnel!$H$9:$H$100))+Staffing!AM81)*Escalation!$B$36</f>
        <v>323440.5924</v>
      </c>
      <c r="AL4" s="289" t="n">
        <f aca="false">(SUMPRODUCT((Personnel!$O$9:$O$100&lt;&gt;"")*(Personnel!$G$9:$G$100="Yes")*(36&gt;=Personnel!$E$9:$E$100)*((Personnel!$K$9:$K$100="")+(36&lt;=Personnel!$K$9:$K$100)&gt;0)*Personnel!$D$9:$D$100*(1-Personnel!$H$9:$H$100))+Staffing!AN81)*Escalation!$B$37</f>
        <v>323440.5924</v>
      </c>
      <c r="AM4" s="289" t="n">
        <f aca="false">(SUMPRODUCT((Personnel!$O$9:$O$100&lt;&gt;"")*(Personnel!$G$9:$G$100="Yes")*(37&gt;=Personnel!$E$9:$E$100)*((Personnel!$K$9:$K$100="")+(37&lt;=Personnel!$K$9:$K$100)&gt;0)*Personnel!$D$9:$D$100*(1-Personnel!$H$9:$H$100))+Staffing!AO81)*Escalation!$B$38</f>
        <v>329909.404248</v>
      </c>
      <c r="AN4" s="289" t="n">
        <f aca="false">(SUMPRODUCT((Personnel!$O$9:$O$100&lt;&gt;"")*(Personnel!$G$9:$G$100="Yes")*(38&gt;=Personnel!$E$9:$E$100)*((Personnel!$K$9:$K$100="")+(38&lt;=Personnel!$K$9:$K$100)&gt;0)*Personnel!$D$9:$D$100*(1-Personnel!$H$9:$H$100))+Staffing!AP81)*Escalation!$B$39</f>
        <v>329909.404248</v>
      </c>
      <c r="AO4" s="289" t="n">
        <f aca="false">(SUMPRODUCT((Personnel!$O$9:$O$100&lt;&gt;"")*(Personnel!$G$9:$G$100="Yes")*(39&gt;=Personnel!$E$9:$E$100)*((Personnel!$K$9:$K$100="")+(39&lt;=Personnel!$K$9:$K$100)&gt;0)*Personnel!$D$9:$D$100*(1-Personnel!$H$9:$H$100))+Staffing!AQ81)*Escalation!$B$40</f>
        <v>329909.404248</v>
      </c>
      <c r="AP4" s="289" t="n">
        <f aca="false">(SUMPRODUCT((Personnel!$O$9:$O$100&lt;&gt;"")*(Personnel!$G$9:$G$100="Yes")*(40&gt;=Personnel!$E$9:$E$100)*((Personnel!$K$9:$K$100="")+(40&lt;=Personnel!$K$9:$K$100)&gt;0)*Personnel!$D$9:$D$100*(1-Personnel!$H$9:$H$100))+Staffing!AR81)*Escalation!$B$41</f>
        <v>329909.404248</v>
      </c>
      <c r="AQ4" s="289" t="n">
        <f aca="false">(SUMPRODUCT((Personnel!$O$9:$O$100&lt;&gt;"")*(Personnel!$G$9:$G$100="Yes")*(41&gt;=Personnel!$E$9:$E$100)*((Personnel!$K$9:$K$100="")+(41&lt;=Personnel!$K$9:$K$100)&gt;0)*Personnel!$D$9:$D$100*(1-Personnel!$H$9:$H$100))+Staffing!AS81)*Escalation!$B$42</f>
        <v>329909.404248</v>
      </c>
      <c r="AR4" s="289" t="n">
        <f aca="false">(SUMPRODUCT((Personnel!$O$9:$O$100&lt;&gt;"")*(Personnel!$G$9:$G$100="Yes")*(42&gt;=Personnel!$E$9:$E$100)*((Personnel!$K$9:$K$100="")+(42&lt;=Personnel!$K$9:$K$100)&gt;0)*Personnel!$D$9:$D$100*(1-Personnel!$H$9:$H$100))+Staffing!AT81)*Escalation!$B$43</f>
        <v>329909.404248</v>
      </c>
      <c r="AS4" s="289" t="n">
        <f aca="false">(SUMPRODUCT((Personnel!$O$9:$O$100&lt;&gt;"")*(Personnel!$G$9:$G$100="Yes")*(43&gt;=Personnel!$E$9:$E$100)*((Personnel!$K$9:$K$100="")+(43&lt;=Personnel!$K$9:$K$100)&gt;0)*Personnel!$D$9:$D$100*(1-Personnel!$H$9:$H$100))+Staffing!AU81)*Escalation!$B$44</f>
        <v>329909.404248</v>
      </c>
      <c r="AT4" s="289" t="n">
        <f aca="false">(SUMPRODUCT((Personnel!$O$9:$O$100&lt;&gt;"")*(Personnel!$G$9:$G$100="Yes")*(44&gt;=Personnel!$E$9:$E$100)*((Personnel!$K$9:$K$100="")+(44&lt;=Personnel!$K$9:$K$100)&gt;0)*Personnel!$D$9:$D$100*(1-Personnel!$H$9:$H$100))+Staffing!AV81)*Escalation!$B$45</f>
        <v>329909.404248</v>
      </c>
      <c r="AU4" s="289" t="n">
        <f aca="false">(SUMPRODUCT((Personnel!$O$9:$O$100&lt;&gt;"")*(Personnel!$G$9:$G$100="Yes")*(45&gt;=Personnel!$E$9:$E$100)*((Personnel!$K$9:$K$100="")+(45&lt;=Personnel!$K$9:$K$100)&gt;0)*Personnel!$D$9:$D$100*(1-Personnel!$H$9:$H$100))+Staffing!AW81)*Escalation!$B$46</f>
        <v>329909.404248</v>
      </c>
      <c r="AV4" s="289" t="n">
        <f aca="false">(SUMPRODUCT((Personnel!$O$9:$O$100&lt;&gt;"")*(Personnel!$G$9:$G$100="Yes")*(46&gt;=Personnel!$E$9:$E$100)*((Personnel!$K$9:$K$100="")+(46&lt;=Personnel!$K$9:$K$100)&gt;0)*Personnel!$D$9:$D$100*(1-Personnel!$H$9:$H$100))+Staffing!AX81)*Escalation!$B$47</f>
        <v>329909.404248</v>
      </c>
      <c r="AW4" s="289" t="n">
        <f aca="false">(SUMPRODUCT((Personnel!$O$9:$O$100&lt;&gt;"")*(Personnel!$G$9:$G$100="Yes")*(47&gt;=Personnel!$E$9:$E$100)*((Personnel!$K$9:$K$100="")+(47&lt;=Personnel!$K$9:$K$100)&gt;0)*Personnel!$D$9:$D$100*(1-Personnel!$H$9:$H$100))+Staffing!AY81)*Escalation!$B$48</f>
        <v>329909.404248</v>
      </c>
      <c r="AX4" s="289" t="n">
        <f aca="false">(SUMPRODUCT((Personnel!$O$9:$O$100&lt;&gt;"")*(Personnel!$G$9:$G$100="Yes")*(48&gt;=Personnel!$E$9:$E$100)*((Personnel!$K$9:$K$100="")+(48&lt;=Personnel!$K$9:$K$100)&gt;0)*Personnel!$D$9:$D$100*(1-Personnel!$H$9:$H$100))+Staffing!AZ81)*Escalation!$B$49</f>
        <v>329909.404248</v>
      </c>
      <c r="AY4" s="289" t="n">
        <f aca="false">(SUMPRODUCT((Personnel!$O$9:$O$100&lt;&gt;"")*(Personnel!$G$9:$G$100="Yes")*(49&gt;=Personnel!$E$9:$E$100)*((Personnel!$K$9:$K$100="")+(49&lt;=Personnel!$K$9:$K$100)&gt;0)*Personnel!$D$9:$D$100*(1-Personnel!$H$9:$H$100))+Staffing!BA81)*Escalation!$B$50</f>
        <v>336507.59233296</v>
      </c>
      <c r="AZ4" s="289" t="n">
        <f aca="false">(SUMPRODUCT((Personnel!$O$9:$O$100&lt;&gt;"")*(Personnel!$G$9:$G$100="Yes")*(50&gt;=Personnel!$E$9:$E$100)*((Personnel!$K$9:$K$100="")+(50&lt;=Personnel!$K$9:$K$100)&gt;0)*Personnel!$D$9:$D$100*(1-Personnel!$H$9:$H$100))+Staffing!BB81)*Escalation!$B$51</f>
        <v>336507.59233296</v>
      </c>
      <c r="BA4" s="289" t="n">
        <f aca="false">(SUMPRODUCT((Personnel!$O$9:$O$100&lt;&gt;"")*(Personnel!$G$9:$G$100="Yes")*(51&gt;=Personnel!$E$9:$E$100)*((Personnel!$K$9:$K$100="")+(51&lt;=Personnel!$K$9:$K$100)&gt;0)*Personnel!$D$9:$D$100*(1-Personnel!$H$9:$H$100))+Staffing!BC81)*Escalation!$B$52</f>
        <v>336507.59233296</v>
      </c>
      <c r="BB4" s="289" t="n">
        <f aca="false">(SUMPRODUCT((Personnel!$O$9:$O$100&lt;&gt;"")*(Personnel!$G$9:$G$100="Yes")*(52&gt;=Personnel!$E$9:$E$100)*((Personnel!$K$9:$K$100="")+(52&lt;=Personnel!$K$9:$K$100)&gt;0)*Personnel!$D$9:$D$100*(1-Personnel!$H$9:$H$100))+Staffing!BD81)*Escalation!$B$53</f>
        <v>336507.59233296</v>
      </c>
      <c r="BC4" s="289" t="n">
        <f aca="false">(SUMPRODUCT((Personnel!$O$9:$O$100&lt;&gt;"")*(Personnel!$G$9:$G$100="Yes")*(53&gt;=Personnel!$E$9:$E$100)*((Personnel!$K$9:$K$100="")+(53&lt;=Personnel!$K$9:$K$100)&gt;0)*Personnel!$D$9:$D$100*(1-Personnel!$H$9:$H$100))+Staffing!BE81)*Escalation!$B$54</f>
        <v>336507.59233296</v>
      </c>
      <c r="BD4" s="289" t="n">
        <f aca="false">(SUMPRODUCT((Personnel!$O$9:$O$100&lt;&gt;"")*(Personnel!$G$9:$G$100="Yes")*(54&gt;=Personnel!$E$9:$E$100)*((Personnel!$K$9:$K$100="")+(54&lt;=Personnel!$K$9:$K$100)&gt;0)*Personnel!$D$9:$D$100*(1-Personnel!$H$9:$H$100))+Staffing!BF81)*Escalation!$B$55</f>
        <v>336507.59233296</v>
      </c>
      <c r="BE4" s="289" t="n">
        <f aca="false">(SUMPRODUCT((Personnel!$O$9:$O$100&lt;&gt;"")*(Personnel!$G$9:$G$100="Yes")*(55&gt;=Personnel!$E$9:$E$100)*((Personnel!$K$9:$K$100="")+(55&lt;=Personnel!$K$9:$K$100)&gt;0)*Personnel!$D$9:$D$100*(1-Personnel!$H$9:$H$100))+Staffing!BG81)*Escalation!$B$56</f>
        <v>336507.59233296</v>
      </c>
      <c r="BF4" s="289" t="n">
        <f aca="false">(SUMPRODUCT((Personnel!$O$9:$O$100&lt;&gt;"")*(Personnel!$G$9:$G$100="Yes")*(56&gt;=Personnel!$E$9:$E$100)*((Personnel!$K$9:$K$100="")+(56&lt;=Personnel!$K$9:$K$100)&gt;0)*Personnel!$D$9:$D$100*(1-Personnel!$H$9:$H$100))+Staffing!BH81)*Escalation!$B$57</f>
        <v>336507.59233296</v>
      </c>
      <c r="BG4" s="289" t="n">
        <f aca="false">(SUMPRODUCT((Personnel!$O$9:$O$100&lt;&gt;"")*(Personnel!$G$9:$G$100="Yes")*(57&gt;=Personnel!$E$9:$E$100)*((Personnel!$K$9:$K$100="")+(57&lt;=Personnel!$K$9:$K$100)&gt;0)*Personnel!$D$9:$D$100*(1-Personnel!$H$9:$H$100))+Staffing!BI81)*Escalation!$B$58</f>
        <v>336507.59233296</v>
      </c>
      <c r="BH4" s="289" t="n">
        <f aca="false">(SUMPRODUCT((Personnel!$O$9:$O$100&lt;&gt;"")*(Personnel!$G$9:$G$100="Yes")*(58&gt;=Personnel!$E$9:$E$100)*((Personnel!$K$9:$K$100="")+(58&lt;=Personnel!$K$9:$K$100)&gt;0)*Personnel!$D$9:$D$100*(1-Personnel!$H$9:$H$100))+Staffing!BJ81)*Escalation!$B$59</f>
        <v>336507.59233296</v>
      </c>
      <c r="BI4" s="289" t="n">
        <f aca="false">(SUMPRODUCT((Personnel!$O$9:$O$100&lt;&gt;"")*(Personnel!$G$9:$G$100="Yes")*(59&gt;=Personnel!$E$9:$E$100)*((Personnel!$K$9:$K$100="")+(59&lt;=Personnel!$K$9:$K$100)&gt;0)*Personnel!$D$9:$D$100*(1-Personnel!$H$9:$H$100))+Staffing!BK81)*Escalation!$B$60</f>
        <v>336507.59233296</v>
      </c>
      <c r="BJ4" s="289" t="n">
        <f aca="false">(SUMPRODUCT((Personnel!$O$9:$O$100&lt;&gt;"")*(Personnel!$G$9:$G$100="Yes")*(60&gt;=Personnel!$E$9:$E$100)*((Personnel!$K$9:$K$100="")+(60&lt;=Personnel!$K$9:$K$100)&gt;0)*Personnel!$D$9:$D$100*(1-Personnel!$H$9:$H$100))+Staffing!BL81)*Escalation!$B$61</f>
        <v>336507.59233296</v>
      </c>
      <c r="BK4" s="289" t="n">
        <f aca="false">(SUMPRODUCT((Personnel!$O$9:$O$100&lt;&gt;"")*(Personnel!$G$9:$G$100="Yes")*(61&gt;=Personnel!$E$9:$E$100)*((Personnel!$K$9:$K$100="")+(61&lt;=Personnel!$K$9:$K$100)&gt;0)*Personnel!$D$9:$D$100*(1-Personnel!$H$9:$H$100))+Staffing!BM81)*Escalation!$B$62</f>
        <v>343237.744179619</v>
      </c>
      <c r="BL4" s="289" t="n">
        <f aca="false">(SUMPRODUCT((Personnel!$O$9:$O$100&lt;&gt;"")*(Personnel!$G$9:$G$100="Yes")*(62&gt;=Personnel!$E$9:$E$100)*((Personnel!$K$9:$K$100="")+(62&lt;=Personnel!$K$9:$K$100)&gt;0)*Personnel!$D$9:$D$100*(1-Personnel!$H$9:$H$100))+Staffing!BN81)*Escalation!$B$63</f>
        <v>343237.744179619</v>
      </c>
      <c r="BM4" s="289" t="n">
        <f aca="false">(SUMPRODUCT((Personnel!$O$9:$O$100&lt;&gt;"")*(Personnel!$G$9:$G$100="Yes")*(63&gt;=Personnel!$E$9:$E$100)*((Personnel!$K$9:$K$100="")+(63&lt;=Personnel!$K$9:$K$100)&gt;0)*Personnel!$D$9:$D$100*(1-Personnel!$H$9:$H$100))+Staffing!BO81)*Escalation!$B$64</f>
        <v>343237.744179619</v>
      </c>
      <c r="BN4" s="289" t="n">
        <f aca="false">(SUMPRODUCT((Personnel!$O$9:$O$100&lt;&gt;"")*(Personnel!$G$9:$G$100="Yes")*(64&gt;=Personnel!$E$9:$E$100)*((Personnel!$K$9:$K$100="")+(64&lt;=Personnel!$K$9:$K$100)&gt;0)*Personnel!$D$9:$D$100*(1-Personnel!$H$9:$H$100))+Staffing!BP81)*Escalation!$B$65</f>
        <v>343237.744179619</v>
      </c>
      <c r="BO4" s="289" t="n">
        <f aca="false">(SUMPRODUCT((Personnel!$O$9:$O$100&lt;&gt;"")*(Personnel!$G$9:$G$100="Yes")*(65&gt;=Personnel!$E$9:$E$100)*((Personnel!$K$9:$K$100="")+(65&lt;=Personnel!$K$9:$K$100)&gt;0)*Personnel!$D$9:$D$100*(1-Personnel!$H$9:$H$100))+Staffing!BQ81)*Escalation!$B$66</f>
        <v>343237.744179619</v>
      </c>
      <c r="BP4" s="289" t="n">
        <f aca="false">(SUMPRODUCT((Personnel!$O$9:$O$100&lt;&gt;"")*(Personnel!$G$9:$G$100="Yes")*(66&gt;=Personnel!$E$9:$E$100)*((Personnel!$K$9:$K$100="")+(66&lt;=Personnel!$K$9:$K$100)&gt;0)*Personnel!$D$9:$D$100*(1-Personnel!$H$9:$H$100))+Staffing!BR81)*Escalation!$B$67</f>
        <v>343237.744179619</v>
      </c>
      <c r="BQ4" s="289" t="n">
        <f aca="false">(SUMPRODUCT((Personnel!$O$9:$O$100&lt;&gt;"")*(Personnel!$G$9:$G$100="Yes")*(67&gt;=Personnel!$E$9:$E$100)*((Personnel!$K$9:$K$100="")+(67&lt;=Personnel!$K$9:$K$100)&gt;0)*Personnel!$D$9:$D$100*(1-Personnel!$H$9:$H$100))+Staffing!BS81)*Escalation!$B$68</f>
        <v>343237.744179619</v>
      </c>
      <c r="BR4" s="289" t="n">
        <f aca="false">(SUMPRODUCT((Personnel!$O$9:$O$100&lt;&gt;"")*(Personnel!$G$9:$G$100="Yes")*(68&gt;=Personnel!$E$9:$E$100)*((Personnel!$K$9:$K$100="")+(68&lt;=Personnel!$K$9:$K$100)&gt;0)*Personnel!$D$9:$D$100*(1-Personnel!$H$9:$H$100))+Staffing!BT81)*Escalation!$B$69</f>
        <v>343237.744179619</v>
      </c>
      <c r="BS4" s="289" t="n">
        <f aca="false">(SUMPRODUCT((Personnel!$O$9:$O$100&lt;&gt;"")*(Personnel!$G$9:$G$100="Yes")*(69&gt;=Personnel!$E$9:$E$100)*((Personnel!$K$9:$K$100="")+(69&lt;=Personnel!$K$9:$K$100)&gt;0)*Personnel!$D$9:$D$100*(1-Personnel!$H$9:$H$100))+Staffing!BU81)*Escalation!$B$70</f>
        <v>343237.744179619</v>
      </c>
      <c r="BT4" s="289" t="n">
        <f aca="false">(SUMPRODUCT((Personnel!$O$9:$O$100&lt;&gt;"")*(Personnel!$G$9:$G$100="Yes")*(70&gt;=Personnel!$E$9:$E$100)*((Personnel!$K$9:$K$100="")+(70&lt;=Personnel!$K$9:$K$100)&gt;0)*Personnel!$D$9:$D$100*(1-Personnel!$H$9:$H$100))+Staffing!BV81)*Escalation!$B$71</f>
        <v>343237.744179619</v>
      </c>
      <c r="BU4" s="289" t="n">
        <f aca="false">(SUMPRODUCT((Personnel!$O$9:$O$100&lt;&gt;"")*(Personnel!$G$9:$G$100="Yes")*(71&gt;=Personnel!$E$9:$E$100)*((Personnel!$K$9:$K$100="")+(71&lt;=Personnel!$K$9:$K$100)&gt;0)*Personnel!$D$9:$D$100*(1-Personnel!$H$9:$H$100))+Staffing!BW81)*Escalation!$B$72</f>
        <v>343237.744179619</v>
      </c>
      <c r="BV4" s="289" t="n">
        <f aca="false">(SUMPRODUCT((Personnel!$O$9:$O$100&lt;&gt;"")*(Personnel!$G$9:$G$100="Yes")*(72&gt;=Personnel!$E$9:$E$100)*((Personnel!$K$9:$K$100="")+(72&lt;=Personnel!$K$9:$K$100)&gt;0)*Personnel!$D$9:$D$100*(1-Personnel!$H$9:$H$100))+Staffing!BX81)*Escalation!$B$73</f>
        <v>343237.744179619</v>
      </c>
      <c r="BW4" s="289" t="n">
        <f aca="false">(SUMPRODUCT((Personnel!$O$9:$O$100&lt;&gt;"")*(Personnel!$G$9:$G$100="Yes")*(73&gt;=Personnel!$E$9:$E$100)*((Personnel!$K$9:$K$100="")+(73&lt;=Personnel!$K$9:$K$100)&gt;0)*Personnel!$D$9:$D$100*(1-Personnel!$H$9:$H$100))+Staffing!BY81)*Escalation!$B$74</f>
        <v>350102.499063212</v>
      </c>
      <c r="BX4" s="289" t="n">
        <f aca="false">(SUMPRODUCT((Personnel!$O$9:$O$100&lt;&gt;"")*(Personnel!$G$9:$G$100="Yes")*(74&gt;=Personnel!$E$9:$E$100)*((Personnel!$K$9:$K$100="")+(74&lt;=Personnel!$K$9:$K$100)&gt;0)*Personnel!$D$9:$D$100*(1-Personnel!$H$9:$H$100))+Staffing!BZ81)*Escalation!$B$75</f>
        <v>350102.499063212</v>
      </c>
      <c r="BY4" s="289" t="n">
        <f aca="false">(SUMPRODUCT((Personnel!$O$9:$O$100&lt;&gt;"")*(Personnel!$G$9:$G$100="Yes")*(75&gt;=Personnel!$E$9:$E$100)*((Personnel!$K$9:$K$100="")+(75&lt;=Personnel!$K$9:$K$100)&gt;0)*Personnel!$D$9:$D$100*(1-Personnel!$H$9:$H$100))+Staffing!CA81)*Escalation!$B$76</f>
        <v>350102.499063212</v>
      </c>
      <c r="BZ4" s="289" t="n">
        <f aca="false">(SUMPRODUCT((Personnel!$O$9:$O$100&lt;&gt;"")*(Personnel!$G$9:$G$100="Yes")*(76&gt;=Personnel!$E$9:$E$100)*((Personnel!$K$9:$K$100="")+(76&lt;=Personnel!$K$9:$K$100)&gt;0)*Personnel!$D$9:$D$100*(1-Personnel!$H$9:$H$100))+Staffing!CB81)*Escalation!$B$77</f>
        <v>350102.499063212</v>
      </c>
      <c r="CA4" s="289" t="n">
        <f aca="false">(SUMPRODUCT((Personnel!$O$9:$O$100&lt;&gt;"")*(Personnel!$G$9:$G$100="Yes")*(77&gt;=Personnel!$E$9:$E$100)*((Personnel!$K$9:$K$100="")+(77&lt;=Personnel!$K$9:$K$100)&gt;0)*Personnel!$D$9:$D$100*(1-Personnel!$H$9:$H$100))+Staffing!CC81)*Escalation!$B$78</f>
        <v>350102.499063212</v>
      </c>
      <c r="CB4" s="289" t="n">
        <f aca="false">(SUMPRODUCT((Personnel!$O$9:$O$100&lt;&gt;"")*(Personnel!$G$9:$G$100="Yes")*(78&gt;=Personnel!$E$9:$E$100)*((Personnel!$K$9:$K$100="")+(78&lt;=Personnel!$K$9:$K$100)&gt;0)*Personnel!$D$9:$D$100*(1-Personnel!$H$9:$H$100))+Staffing!CD81)*Escalation!$B$79</f>
        <v>350102.499063212</v>
      </c>
      <c r="CC4" s="289" t="n">
        <f aca="false">(SUMPRODUCT((Personnel!$O$9:$O$100&lt;&gt;"")*(Personnel!$G$9:$G$100="Yes")*(79&gt;=Personnel!$E$9:$E$100)*((Personnel!$K$9:$K$100="")+(79&lt;=Personnel!$K$9:$K$100)&gt;0)*Personnel!$D$9:$D$100*(1-Personnel!$H$9:$H$100))+Staffing!CE81)*Escalation!$B$80</f>
        <v>350102.499063212</v>
      </c>
      <c r="CD4" s="289" t="n">
        <f aca="false">(SUMPRODUCT((Personnel!$O$9:$O$100&lt;&gt;"")*(Personnel!$G$9:$G$100="Yes")*(80&gt;=Personnel!$E$9:$E$100)*((Personnel!$K$9:$K$100="")+(80&lt;=Personnel!$K$9:$K$100)&gt;0)*Personnel!$D$9:$D$100*(1-Personnel!$H$9:$H$100))+Staffing!CF81)*Escalation!$B$81</f>
        <v>350102.499063212</v>
      </c>
      <c r="CE4" s="289" t="n">
        <f aca="false">(SUMPRODUCT((Personnel!$O$9:$O$100&lt;&gt;"")*(Personnel!$G$9:$G$100="Yes")*(81&gt;=Personnel!$E$9:$E$100)*((Personnel!$K$9:$K$100="")+(81&lt;=Personnel!$K$9:$K$100)&gt;0)*Personnel!$D$9:$D$100*(1-Personnel!$H$9:$H$100))+Staffing!CG81)*Escalation!$B$82</f>
        <v>350102.499063212</v>
      </c>
      <c r="CF4" s="289" t="n">
        <f aca="false">(SUMPRODUCT((Personnel!$O$9:$O$100&lt;&gt;"")*(Personnel!$G$9:$G$100="Yes")*(82&gt;=Personnel!$E$9:$E$100)*((Personnel!$K$9:$K$100="")+(82&lt;=Personnel!$K$9:$K$100)&gt;0)*Personnel!$D$9:$D$100*(1-Personnel!$H$9:$H$100))+Staffing!CH81)*Escalation!$B$83</f>
        <v>350102.499063212</v>
      </c>
      <c r="CG4" s="289" t="n">
        <f aca="false">(SUMPRODUCT((Personnel!$O$9:$O$100&lt;&gt;"")*(Personnel!$G$9:$G$100="Yes")*(83&gt;=Personnel!$E$9:$E$100)*((Personnel!$K$9:$K$100="")+(83&lt;=Personnel!$K$9:$K$100)&gt;0)*Personnel!$D$9:$D$100*(1-Personnel!$H$9:$H$100))+Staffing!CI81)*Escalation!$B$84</f>
        <v>350102.499063212</v>
      </c>
      <c r="CH4" s="289" t="n">
        <f aca="false">(SUMPRODUCT((Personnel!$O$9:$O$100&lt;&gt;"")*(Personnel!$G$9:$G$100="Yes")*(84&gt;=Personnel!$E$9:$E$100)*((Personnel!$K$9:$K$100="")+(84&lt;=Personnel!$K$9:$K$100)&gt;0)*Personnel!$D$9:$D$100*(1-Personnel!$H$9:$H$100))+Staffing!CJ81)*Escalation!$B$85</f>
        <v>350102.499063212</v>
      </c>
      <c r="CI4" s="289" t="n">
        <f aca="false">(SUMPRODUCT((Personnel!$O$9:$O$100&lt;&gt;"")*(Personnel!$G$9:$G$100="Yes")*(85&gt;=Personnel!$E$9:$E$100)*((Personnel!$K$9:$K$100="")+(85&lt;=Personnel!$K$9:$K$100)&gt;0)*Personnel!$D$9:$D$100*(1-Personnel!$H$9:$H$100))+Staffing!CK81)*Escalation!$B$86</f>
        <v>357104.549044476</v>
      </c>
      <c r="CJ4" s="289" t="n">
        <f aca="false">(SUMPRODUCT((Personnel!$O$9:$O$100&lt;&gt;"")*(Personnel!$G$9:$G$100="Yes")*(86&gt;=Personnel!$E$9:$E$100)*((Personnel!$K$9:$K$100="")+(86&lt;=Personnel!$K$9:$K$100)&gt;0)*Personnel!$D$9:$D$100*(1-Personnel!$H$9:$H$100))+Staffing!CL81)*Escalation!$B$87</f>
        <v>357104.549044476</v>
      </c>
      <c r="CK4" s="289" t="n">
        <f aca="false">(SUMPRODUCT((Personnel!$O$9:$O$100&lt;&gt;"")*(Personnel!$G$9:$G$100="Yes")*(87&gt;=Personnel!$E$9:$E$100)*((Personnel!$K$9:$K$100="")+(87&lt;=Personnel!$K$9:$K$100)&gt;0)*Personnel!$D$9:$D$100*(1-Personnel!$H$9:$H$100))+Staffing!CM81)*Escalation!$B$88</f>
        <v>357104.549044476</v>
      </c>
      <c r="CL4" s="289" t="n">
        <f aca="false">(SUMPRODUCT((Personnel!$O$9:$O$100&lt;&gt;"")*(Personnel!$G$9:$G$100="Yes")*(88&gt;=Personnel!$E$9:$E$100)*((Personnel!$K$9:$K$100="")+(88&lt;=Personnel!$K$9:$K$100)&gt;0)*Personnel!$D$9:$D$100*(1-Personnel!$H$9:$H$100))+Staffing!CN81)*Escalation!$B$89</f>
        <v>357104.549044476</v>
      </c>
      <c r="CM4" s="289" t="n">
        <f aca="false">(SUMPRODUCT((Personnel!$O$9:$O$100&lt;&gt;"")*(Personnel!$G$9:$G$100="Yes")*(89&gt;=Personnel!$E$9:$E$100)*((Personnel!$K$9:$K$100="")+(89&lt;=Personnel!$K$9:$K$100)&gt;0)*Personnel!$D$9:$D$100*(1-Personnel!$H$9:$H$100))+Staffing!CO81)*Escalation!$B$90</f>
        <v>357104.549044476</v>
      </c>
      <c r="CN4" s="289" t="n">
        <f aca="false">(SUMPRODUCT((Personnel!$O$9:$O$100&lt;&gt;"")*(Personnel!$G$9:$G$100="Yes")*(90&gt;=Personnel!$E$9:$E$100)*((Personnel!$K$9:$K$100="")+(90&lt;=Personnel!$K$9:$K$100)&gt;0)*Personnel!$D$9:$D$100*(1-Personnel!$H$9:$H$100))+Staffing!CP81)*Escalation!$B$91</f>
        <v>357104.549044476</v>
      </c>
      <c r="CO4" s="289" t="n">
        <f aca="false">(SUMPRODUCT((Personnel!$O$9:$O$100&lt;&gt;"")*(Personnel!$G$9:$G$100="Yes")*(91&gt;=Personnel!$E$9:$E$100)*((Personnel!$K$9:$K$100="")+(91&lt;=Personnel!$K$9:$K$100)&gt;0)*Personnel!$D$9:$D$100*(1-Personnel!$H$9:$H$100))+Staffing!CQ81)*Escalation!$B$92</f>
        <v>357104.549044476</v>
      </c>
      <c r="CP4" s="289" t="n">
        <f aca="false">(SUMPRODUCT((Personnel!$O$9:$O$100&lt;&gt;"")*(Personnel!$G$9:$G$100="Yes")*(92&gt;=Personnel!$E$9:$E$100)*((Personnel!$K$9:$K$100="")+(92&lt;=Personnel!$K$9:$K$100)&gt;0)*Personnel!$D$9:$D$100*(1-Personnel!$H$9:$H$100))+Staffing!CR81)*Escalation!$B$93</f>
        <v>357104.549044476</v>
      </c>
      <c r="CQ4" s="289"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1147</v>
      </c>
      <c r="C5" s="289" t="n">
        <f aca="false">(SUMPRODUCT((Personnel!$F$9:$F$100="SixPeak")*(Personnel!$G$9:$G$100="Yes")*(1&gt;=Personnel!$E$9:$E$100)*((Personnel!$K$9:$K$100="")+(1&lt;=Personnel!$K$9:$K$100)&gt;0)*Personnel!$D$9:$D$100*(1-Personnel!$H$9:$H$100)*(1-Personnel!$I$9:$I$100)))*Escalation!$B$2</f>
        <v>54166.6666666667</v>
      </c>
      <c r="D5" s="289" t="n">
        <f aca="false">(SUMPRODUCT((Personnel!$F$9:$F$100="SixPeak")*(Personnel!$G$9:$G$100="Yes")*(2&gt;=Personnel!$E$9:$E$100)*((Personnel!$K$9:$K$100="")+(2&lt;=Personnel!$K$9:$K$100)&gt;0)*Personnel!$D$9:$D$100*(1-Personnel!$H$9:$H$100)*(1-Personnel!$I$9:$I$100)))*Escalation!$B$3</f>
        <v>54166.6666666667</v>
      </c>
      <c r="E5" s="289" t="n">
        <f aca="false">(SUMPRODUCT((Personnel!$F$9:$F$100="SixPeak")*(Personnel!$G$9:$G$100="Yes")*(3&gt;=Personnel!$E$9:$E$100)*((Personnel!$K$9:$K$100="")+(3&lt;=Personnel!$K$9:$K$100)&gt;0)*Personnel!$D$9:$D$100*(1-Personnel!$H$9:$H$100)*(1-Personnel!$I$9:$I$100)))*Escalation!$B$4</f>
        <v>54166.6666666667</v>
      </c>
      <c r="F5" s="289" t="n">
        <f aca="false">(SUMPRODUCT((Personnel!$F$9:$F$100="SixPeak")*(Personnel!$G$9:$G$100="Yes")*(4&gt;=Personnel!$E$9:$E$100)*((Personnel!$K$9:$K$100="")+(4&lt;=Personnel!$K$9:$K$100)&gt;0)*Personnel!$D$9:$D$100*(1-Personnel!$H$9:$H$100)*(1-Personnel!$I$9:$I$100)))*Escalation!$B$5</f>
        <v>54166.6666666667</v>
      </c>
      <c r="G5" s="289" t="n">
        <f aca="false">(SUMPRODUCT((Personnel!$F$9:$F$100="SixPeak")*(Personnel!$G$9:$G$100="Yes")*(5&gt;=Personnel!$E$9:$E$100)*((Personnel!$K$9:$K$100="")+(5&lt;=Personnel!$K$9:$K$100)&gt;0)*Personnel!$D$9:$D$100*(1-Personnel!$H$9:$H$100)*(1-Personnel!$I$9:$I$100)))*Escalation!$B$6</f>
        <v>54166.6666666667</v>
      </c>
      <c r="H5" s="289" t="n">
        <f aca="false">(SUMPRODUCT((Personnel!$F$9:$F$100="SixPeak")*(Personnel!$G$9:$G$100="Yes")*(6&gt;=Personnel!$E$9:$E$100)*((Personnel!$K$9:$K$100="")+(6&lt;=Personnel!$K$9:$K$100)&gt;0)*Personnel!$D$9:$D$100*(1-Personnel!$H$9:$H$100)*(1-Personnel!$I$9:$I$100)))*Escalation!$B$7</f>
        <v>54166.6666666667</v>
      </c>
      <c r="I5" s="289" t="n">
        <f aca="false">(SUMPRODUCT((Personnel!$F$9:$F$100="SixPeak")*(Personnel!$G$9:$G$100="Yes")*(7&gt;=Personnel!$E$9:$E$100)*((Personnel!$K$9:$K$100="")+(7&lt;=Personnel!$K$9:$K$100)&gt;0)*Personnel!$D$9:$D$100*(1-Personnel!$H$9:$H$100)*(1-Personnel!$I$9:$I$100)))*Escalation!$B$8</f>
        <v>54166.6666666667</v>
      </c>
      <c r="J5" s="289" t="n">
        <f aca="false">(SUMPRODUCT((Personnel!$F$9:$F$100="SixPeak")*(Personnel!$G$9:$G$100="Yes")*(8&gt;=Personnel!$E$9:$E$100)*((Personnel!$K$9:$K$100="")+(8&lt;=Personnel!$K$9:$K$100)&gt;0)*Personnel!$D$9:$D$100*(1-Personnel!$H$9:$H$100)*(1-Personnel!$I$9:$I$100)))*Escalation!$B$9</f>
        <v>54166.6666666667</v>
      </c>
      <c r="K5" s="289" t="n">
        <f aca="false">(SUMPRODUCT((Personnel!$F$9:$F$100="SixPeak")*(Personnel!$G$9:$G$100="Yes")*(9&gt;=Personnel!$E$9:$E$100)*((Personnel!$K$9:$K$100="")+(9&lt;=Personnel!$K$9:$K$100)&gt;0)*Personnel!$D$9:$D$100*(1-Personnel!$H$9:$H$100)*(1-Personnel!$I$9:$I$100)))*Escalation!$B$10</f>
        <v>54166.6666666667</v>
      </c>
      <c r="L5" s="289" t="n">
        <f aca="false">(SUMPRODUCT((Personnel!$F$9:$F$100="SixPeak")*(Personnel!$G$9:$G$100="Yes")*(10&gt;=Personnel!$E$9:$E$100)*((Personnel!$K$9:$K$100="")+(10&lt;=Personnel!$K$9:$K$100)&gt;0)*Personnel!$D$9:$D$100*(1-Personnel!$H$9:$H$100)*(1-Personnel!$I$9:$I$100)))*Escalation!$B$11</f>
        <v>54166.6666666667</v>
      </c>
      <c r="M5" s="289" t="n">
        <f aca="false">(SUMPRODUCT((Personnel!$F$9:$F$100="SixPeak")*(Personnel!$G$9:$G$100="Yes")*(11&gt;=Personnel!$E$9:$E$100)*((Personnel!$K$9:$K$100="")+(11&lt;=Personnel!$K$9:$K$100)&gt;0)*Personnel!$D$9:$D$100*(1-Personnel!$H$9:$H$100)*(1-Personnel!$I$9:$I$100)))*Escalation!$B$12</f>
        <v>54166.6666666667</v>
      </c>
      <c r="N5" s="289" t="n">
        <f aca="false">(SUMPRODUCT((Personnel!$F$9:$F$100="SixPeak")*(Personnel!$G$9:$G$100="Yes")*(12&gt;=Personnel!$E$9:$E$100)*((Personnel!$K$9:$K$100="")+(12&lt;=Personnel!$K$9:$K$100)&gt;0)*Personnel!$D$9:$D$100*(1-Personnel!$H$9:$H$100)*(1-Personnel!$I$9:$I$100)))*Escalation!$B$13</f>
        <v>54166.6666666667</v>
      </c>
      <c r="O5" s="289" t="n">
        <f aca="false">(SUMPRODUCT((Personnel!$F$9:$F$100="SixPeak")*(Personnel!$G$9:$G$100="Yes")*(13&gt;=Personnel!$E$9:$E$100)*((Personnel!$K$9:$K$100="")+(13&lt;=Personnel!$K$9:$K$100)&gt;0)*Personnel!$D$9:$D$100*(1-Personnel!$H$9:$H$100)*(1-Personnel!$I$9:$I$100)))*Escalation!$B$14</f>
        <v>55250</v>
      </c>
      <c r="P5" s="289" t="n">
        <f aca="false">(SUMPRODUCT((Personnel!$F$9:$F$100="SixPeak")*(Personnel!$G$9:$G$100="Yes")*(14&gt;=Personnel!$E$9:$E$100)*((Personnel!$K$9:$K$100="")+(14&lt;=Personnel!$K$9:$K$100)&gt;0)*Personnel!$D$9:$D$100*(1-Personnel!$H$9:$H$100)*(1-Personnel!$I$9:$I$100)))*Escalation!$B$15</f>
        <v>55250</v>
      </c>
      <c r="Q5" s="289" t="n">
        <f aca="false">(SUMPRODUCT((Personnel!$F$9:$F$100="SixPeak")*(Personnel!$G$9:$G$100="Yes")*(15&gt;=Personnel!$E$9:$E$100)*((Personnel!$K$9:$K$100="")+(15&lt;=Personnel!$K$9:$K$100)&gt;0)*Personnel!$D$9:$D$100*(1-Personnel!$H$9:$H$100)*(1-Personnel!$I$9:$I$100)))*Escalation!$B$16</f>
        <v>55250</v>
      </c>
      <c r="R5" s="289" t="n">
        <f aca="false">(SUMPRODUCT((Personnel!$F$9:$F$100="SixPeak")*(Personnel!$G$9:$G$100="Yes")*(16&gt;=Personnel!$E$9:$E$100)*((Personnel!$K$9:$K$100="")+(16&lt;=Personnel!$K$9:$K$100)&gt;0)*Personnel!$D$9:$D$100*(1-Personnel!$H$9:$H$100)*(1-Personnel!$I$9:$I$100)))*Escalation!$B$17</f>
        <v>55250</v>
      </c>
      <c r="S5" s="289" t="n">
        <f aca="false">(SUMPRODUCT((Personnel!$F$9:$F$100="SixPeak")*(Personnel!$G$9:$G$100="Yes")*(17&gt;=Personnel!$E$9:$E$100)*((Personnel!$K$9:$K$100="")+(17&lt;=Personnel!$K$9:$K$100)&gt;0)*Personnel!$D$9:$D$100*(1-Personnel!$H$9:$H$100)*(1-Personnel!$I$9:$I$100)))*Escalation!$B$18</f>
        <v>55250</v>
      </c>
      <c r="T5" s="289" t="n">
        <f aca="false">(SUMPRODUCT((Personnel!$F$9:$F$100="SixPeak")*(Personnel!$G$9:$G$100="Yes")*(18&gt;=Personnel!$E$9:$E$100)*((Personnel!$K$9:$K$100="")+(18&lt;=Personnel!$K$9:$K$100)&gt;0)*Personnel!$D$9:$D$100*(1-Personnel!$H$9:$H$100)*(1-Personnel!$I$9:$I$100)))*Escalation!$B$19</f>
        <v>55250</v>
      </c>
      <c r="U5" s="289" t="n">
        <f aca="false">(SUMPRODUCT((Personnel!$F$9:$F$100="SixPeak")*(Personnel!$G$9:$G$100="Yes")*(19&gt;=Personnel!$E$9:$E$100)*((Personnel!$K$9:$K$100="")+(19&lt;=Personnel!$K$9:$K$100)&gt;0)*Personnel!$D$9:$D$100*(1-Personnel!$H$9:$H$100)*(1-Personnel!$I$9:$I$100)))*Escalation!$B$20</f>
        <v>55250</v>
      </c>
      <c r="V5" s="289" t="n">
        <f aca="false">(SUMPRODUCT((Personnel!$F$9:$F$100="SixPeak")*(Personnel!$G$9:$G$100="Yes")*(20&gt;=Personnel!$E$9:$E$100)*((Personnel!$K$9:$K$100="")+(20&lt;=Personnel!$K$9:$K$100)&gt;0)*Personnel!$D$9:$D$100*(1-Personnel!$H$9:$H$100)*(1-Personnel!$I$9:$I$100)))*Escalation!$B$21</f>
        <v>55250</v>
      </c>
      <c r="W5" s="289" t="n">
        <f aca="false">(SUMPRODUCT((Personnel!$F$9:$F$100="SixPeak")*(Personnel!$G$9:$G$100="Yes")*(21&gt;=Personnel!$E$9:$E$100)*((Personnel!$K$9:$K$100="")+(21&lt;=Personnel!$K$9:$K$100)&gt;0)*Personnel!$D$9:$D$100*(1-Personnel!$H$9:$H$100)*(1-Personnel!$I$9:$I$100)))*Escalation!$B$22</f>
        <v>55250</v>
      </c>
      <c r="X5" s="289" t="n">
        <f aca="false">(SUMPRODUCT((Personnel!$F$9:$F$100="SixPeak")*(Personnel!$G$9:$G$100="Yes")*(22&gt;=Personnel!$E$9:$E$100)*((Personnel!$K$9:$K$100="")+(22&lt;=Personnel!$K$9:$K$100)&gt;0)*Personnel!$D$9:$D$100*(1-Personnel!$H$9:$H$100)*(1-Personnel!$I$9:$I$100)))*Escalation!$B$23</f>
        <v>55250</v>
      </c>
      <c r="Y5" s="289" t="n">
        <f aca="false">(SUMPRODUCT((Personnel!$F$9:$F$100="SixPeak")*(Personnel!$G$9:$G$100="Yes")*(23&gt;=Personnel!$E$9:$E$100)*((Personnel!$K$9:$K$100="")+(23&lt;=Personnel!$K$9:$K$100)&gt;0)*Personnel!$D$9:$D$100*(1-Personnel!$H$9:$H$100)*(1-Personnel!$I$9:$I$100)))*Escalation!$B$24</f>
        <v>55250</v>
      </c>
      <c r="Z5" s="289" t="n">
        <f aca="false">(SUMPRODUCT((Personnel!$F$9:$F$100="SixPeak")*(Personnel!$G$9:$G$100="Yes")*(24&gt;=Personnel!$E$9:$E$100)*((Personnel!$K$9:$K$100="")+(24&lt;=Personnel!$K$9:$K$100)&gt;0)*Personnel!$D$9:$D$100*(1-Personnel!$H$9:$H$100)*(1-Personnel!$I$9:$I$100)))*Escalation!$B$25</f>
        <v>55250</v>
      </c>
      <c r="AA5" s="289" t="n">
        <f aca="false">(SUMPRODUCT((Personnel!$F$9:$F$100="SixPeak")*(Personnel!$G$9:$G$100="Yes")*(25&gt;=Personnel!$E$9:$E$100)*((Personnel!$K$9:$K$100="")+(25&lt;=Personnel!$K$9:$K$100)&gt;0)*Personnel!$D$9:$D$100*(1-Personnel!$H$9:$H$100)*(1-Personnel!$I$9:$I$100)))*Escalation!$B$26</f>
        <v>56355</v>
      </c>
      <c r="AB5" s="289" t="n">
        <f aca="false">(SUMPRODUCT((Personnel!$F$9:$F$100="SixPeak")*(Personnel!$G$9:$G$100="Yes")*(26&gt;=Personnel!$E$9:$E$100)*((Personnel!$K$9:$K$100="")+(26&lt;=Personnel!$K$9:$K$100)&gt;0)*Personnel!$D$9:$D$100*(1-Personnel!$H$9:$H$100)*(1-Personnel!$I$9:$I$100)))*Escalation!$B$27</f>
        <v>56355</v>
      </c>
      <c r="AC5" s="289" t="n">
        <f aca="false">(SUMPRODUCT((Personnel!$F$9:$F$100="SixPeak")*(Personnel!$G$9:$G$100="Yes")*(27&gt;=Personnel!$E$9:$E$100)*((Personnel!$K$9:$K$100="")+(27&lt;=Personnel!$K$9:$K$100)&gt;0)*Personnel!$D$9:$D$100*(1-Personnel!$H$9:$H$100)*(1-Personnel!$I$9:$I$100)))*Escalation!$B$28</f>
        <v>56355</v>
      </c>
      <c r="AD5" s="289" t="n">
        <f aca="false">(SUMPRODUCT((Personnel!$F$9:$F$100="SixPeak")*(Personnel!$G$9:$G$100="Yes")*(28&gt;=Personnel!$E$9:$E$100)*((Personnel!$K$9:$K$100="")+(28&lt;=Personnel!$K$9:$K$100)&gt;0)*Personnel!$D$9:$D$100*(1-Personnel!$H$9:$H$100)*(1-Personnel!$I$9:$I$100)))*Escalation!$B$29</f>
        <v>56355</v>
      </c>
      <c r="AE5" s="289" t="n">
        <f aca="false">(SUMPRODUCT((Personnel!$F$9:$F$100="SixPeak")*(Personnel!$G$9:$G$100="Yes")*(29&gt;=Personnel!$E$9:$E$100)*((Personnel!$K$9:$K$100="")+(29&lt;=Personnel!$K$9:$K$100)&gt;0)*Personnel!$D$9:$D$100*(1-Personnel!$H$9:$H$100)*(1-Personnel!$I$9:$I$100)))*Escalation!$B$30</f>
        <v>56355</v>
      </c>
      <c r="AF5" s="289" t="n">
        <f aca="false">(SUMPRODUCT((Personnel!$F$9:$F$100="SixPeak")*(Personnel!$G$9:$G$100="Yes")*(30&gt;=Personnel!$E$9:$E$100)*((Personnel!$K$9:$K$100="")+(30&lt;=Personnel!$K$9:$K$100)&gt;0)*Personnel!$D$9:$D$100*(1-Personnel!$H$9:$H$100)*(1-Personnel!$I$9:$I$100)))*Escalation!$B$31</f>
        <v>56355</v>
      </c>
      <c r="AG5" s="289" t="n">
        <f aca="false">(SUMPRODUCT((Personnel!$F$9:$F$100="SixPeak")*(Personnel!$G$9:$G$100="Yes")*(31&gt;=Personnel!$E$9:$E$100)*((Personnel!$K$9:$K$100="")+(31&lt;=Personnel!$K$9:$K$100)&gt;0)*Personnel!$D$9:$D$100*(1-Personnel!$H$9:$H$100)*(1-Personnel!$I$9:$I$100)))*Escalation!$B$32</f>
        <v>56355</v>
      </c>
      <c r="AH5" s="289" t="n">
        <f aca="false">(SUMPRODUCT((Personnel!$F$9:$F$100="SixPeak")*(Personnel!$G$9:$G$100="Yes")*(32&gt;=Personnel!$E$9:$E$100)*((Personnel!$K$9:$K$100="")+(32&lt;=Personnel!$K$9:$K$100)&gt;0)*Personnel!$D$9:$D$100*(1-Personnel!$H$9:$H$100)*(1-Personnel!$I$9:$I$100)))*Escalation!$B$33</f>
        <v>56355</v>
      </c>
      <c r="AI5" s="289" t="n">
        <f aca="false">(SUMPRODUCT((Personnel!$F$9:$F$100="SixPeak")*(Personnel!$G$9:$G$100="Yes")*(33&gt;=Personnel!$E$9:$E$100)*((Personnel!$K$9:$K$100="")+(33&lt;=Personnel!$K$9:$K$100)&gt;0)*Personnel!$D$9:$D$100*(1-Personnel!$H$9:$H$100)*(1-Personnel!$I$9:$I$100)))*Escalation!$B$34</f>
        <v>56355</v>
      </c>
      <c r="AJ5" s="289" t="n">
        <f aca="false">(SUMPRODUCT((Personnel!$F$9:$F$100="SixPeak")*(Personnel!$G$9:$G$100="Yes")*(34&gt;=Personnel!$E$9:$E$100)*((Personnel!$K$9:$K$100="")+(34&lt;=Personnel!$K$9:$K$100)&gt;0)*Personnel!$D$9:$D$100*(1-Personnel!$H$9:$H$100)*(1-Personnel!$I$9:$I$100)))*Escalation!$B$35</f>
        <v>56355</v>
      </c>
      <c r="AK5" s="289" t="n">
        <f aca="false">(SUMPRODUCT((Personnel!$F$9:$F$100="SixPeak")*(Personnel!$G$9:$G$100="Yes")*(35&gt;=Personnel!$E$9:$E$100)*((Personnel!$K$9:$K$100="")+(35&lt;=Personnel!$K$9:$K$100)&gt;0)*Personnel!$D$9:$D$100*(1-Personnel!$H$9:$H$100)*(1-Personnel!$I$9:$I$100)))*Escalation!$B$36</f>
        <v>56355</v>
      </c>
      <c r="AL5" s="289" t="n">
        <f aca="false">(SUMPRODUCT((Personnel!$F$9:$F$100="SixPeak")*(Personnel!$G$9:$G$100="Yes")*(36&gt;=Personnel!$E$9:$E$100)*((Personnel!$K$9:$K$100="")+(36&lt;=Personnel!$K$9:$K$100)&gt;0)*Personnel!$D$9:$D$100*(1-Personnel!$H$9:$H$100)*(1-Personnel!$I$9:$I$100)))*Escalation!$B$37</f>
        <v>56355</v>
      </c>
      <c r="AM5" s="289" t="n">
        <f aca="false">(SUMPRODUCT((Personnel!$F$9:$F$100="SixPeak")*(Personnel!$G$9:$G$100="Yes")*(37&gt;=Personnel!$E$9:$E$100)*((Personnel!$K$9:$K$100="")+(37&lt;=Personnel!$K$9:$K$100)&gt;0)*Personnel!$D$9:$D$100*(1-Personnel!$H$9:$H$100)*(1-Personnel!$I$9:$I$100)))*Escalation!$B$38</f>
        <v>57482.1</v>
      </c>
      <c r="AN5" s="289" t="n">
        <f aca="false">(SUMPRODUCT((Personnel!$F$9:$F$100="SixPeak")*(Personnel!$G$9:$G$100="Yes")*(38&gt;=Personnel!$E$9:$E$100)*((Personnel!$K$9:$K$100="")+(38&lt;=Personnel!$K$9:$K$100)&gt;0)*Personnel!$D$9:$D$100*(1-Personnel!$H$9:$H$100)*(1-Personnel!$I$9:$I$100)))*Escalation!$B$39</f>
        <v>57482.1</v>
      </c>
      <c r="AO5" s="289" t="n">
        <f aca="false">(SUMPRODUCT((Personnel!$F$9:$F$100="SixPeak")*(Personnel!$G$9:$G$100="Yes")*(39&gt;=Personnel!$E$9:$E$100)*((Personnel!$K$9:$K$100="")+(39&lt;=Personnel!$K$9:$K$100)&gt;0)*Personnel!$D$9:$D$100*(1-Personnel!$H$9:$H$100)*(1-Personnel!$I$9:$I$100)))*Escalation!$B$40</f>
        <v>57482.1</v>
      </c>
      <c r="AP5" s="289" t="n">
        <f aca="false">(SUMPRODUCT((Personnel!$F$9:$F$100="SixPeak")*(Personnel!$G$9:$G$100="Yes")*(40&gt;=Personnel!$E$9:$E$100)*((Personnel!$K$9:$K$100="")+(40&lt;=Personnel!$K$9:$K$100)&gt;0)*Personnel!$D$9:$D$100*(1-Personnel!$H$9:$H$100)*(1-Personnel!$I$9:$I$100)))*Escalation!$B$41</f>
        <v>57482.1</v>
      </c>
      <c r="AQ5" s="289" t="n">
        <f aca="false">(SUMPRODUCT((Personnel!$F$9:$F$100="SixPeak")*(Personnel!$G$9:$G$100="Yes")*(41&gt;=Personnel!$E$9:$E$100)*((Personnel!$K$9:$K$100="")+(41&lt;=Personnel!$K$9:$K$100)&gt;0)*Personnel!$D$9:$D$100*(1-Personnel!$H$9:$H$100)*(1-Personnel!$I$9:$I$100)))*Escalation!$B$42</f>
        <v>57482.1</v>
      </c>
      <c r="AR5" s="289" t="n">
        <f aca="false">(SUMPRODUCT((Personnel!$F$9:$F$100="SixPeak")*(Personnel!$G$9:$G$100="Yes")*(42&gt;=Personnel!$E$9:$E$100)*((Personnel!$K$9:$K$100="")+(42&lt;=Personnel!$K$9:$K$100)&gt;0)*Personnel!$D$9:$D$100*(1-Personnel!$H$9:$H$100)*(1-Personnel!$I$9:$I$100)))*Escalation!$B$43</f>
        <v>57482.1</v>
      </c>
      <c r="AS5" s="289" t="n">
        <f aca="false">(SUMPRODUCT((Personnel!$F$9:$F$100="SixPeak")*(Personnel!$G$9:$G$100="Yes")*(43&gt;=Personnel!$E$9:$E$100)*((Personnel!$K$9:$K$100="")+(43&lt;=Personnel!$K$9:$K$100)&gt;0)*Personnel!$D$9:$D$100*(1-Personnel!$H$9:$H$100)*(1-Personnel!$I$9:$I$100)))*Escalation!$B$44</f>
        <v>57482.1</v>
      </c>
      <c r="AT5" s="289" t="n">
        <f aca="false">(SUMPRODUCT((Personnel!$F$9:$F$100="SixPeak")*(Personnel!$G$9:$G$100="Yes")*(44&gt;=Personnel!$E$9:$E$100)*((Personnel!$K$9:$K$100="")+(44&lt;=Personnel!$K$9:$K$100)&gt;0)*Personnel!$D$9:$D$100*(1-Personnel!$H$9:$H$100)*(1-Personnel!$I$9:$I$100)))*Escalation!$B$45</f>
        <v>57482.1</v>
      </c>
      <c r="AU5" s="289" t="n">
        <f aca="false">(SUMPRODUCT((Personnel!$F$9:$F$100="SixPeak")*(Personnel!$G$9:$G$100="Yes")*(45&gt;=Personnel!$E$9:$E$100)*((Personnel!$K$9:$K$100="")+(45&lt;=Personnel!$K$9:$K$100)&gt;0)*Personnel!$D$9:$D$100*(1-Personnel!$H$9:$H$100)*(1-Personnel!$I$9:$I$100)))*Escalation!$B$46</f>
        <v>57482.1</v>
      </c>
      <c r="AV5" s="289" t="n">
        <f aca="false">(SUMPRODUCT((Personnel!$F$9:$F$100="SixPeak")*(Personnel!$G$9:$G$100="Yes")*(46&gt;=Personnel!$E$9:$E$100)*((Personnel!$K$9:$K$100="")+(46&lt;=Personnel!$K$9:$K$100)&gt;0)*Personnel!$D$9:$D$100*(1-Personnel!$H$9:$H$100)*(1-Personnel!$I$9:$I$100)))*Escalation!$B$47</f>
        <v>57482.1</v>
      </c>
      <c r="AW5" s="289" t="n">
        <f aca="false">(SUMPRODUCT((Personnel!$F$9:$F$100="SixPeak")*(Personnel!$G$9:$G$100="Yes")*(47&gt;=Personnel!$E$9:$E$100)*((Personnel!$K$9:$K$100="")+(47&lt;=Personnel!$K$9:$K$100)&gt;0)*Personnel!$D$9:$D$100*(1-Personnel!$H$9:$H$100)*(1-Personnel!$I$9:$I$100)))*Escalation!$B$48</f>
        <v>57482.1</v>
      </c>
      <c r="AX5" s="289" t="n">
        <f aca="false">(SUMPRODUCT((Personnel!$F$9:$F$100="SixPeak")*(Personnel!$G$9:$G$100="Yes")*(48&gt;=Personnel!$E$9:$E$100)*((Personnel!$K$9:$K$100="")+(48&lt;=Personnel!$K$9:$K$100)&gt;0)*Personnel!$D$9:$D$100*(1-Personnel!$H$9:$H$100)*(1-Personnel!$I$9:$I$100)))*Escalation!$B$49</f>
        <v>57482.1</v>
      </c>
      <c r="AY5" s="289" t="n">
        <f aca="false">(SUMPRODUCT((Personnel!$F$9:$F$100="SixPeak")*(Personnel!$G$9:$G$100="Yes")*(49&gt;=Personnel!$E$9:$E$100)*((Personnel!$K$9:$K$100="")+(49&lt;=Personnel!$K$9:$K$100)&gt;0)*Personnel!$D$9:$D$100*(1-Personnel!$H$9:$H$100)*(1-Personnel!$I$9:$I$100)))*Escalation!$B$50</f>
        <v>58631.742</v>
      </c>
      <c r="AZ5" s="289" t="n">
        <f aca="false">(SUMPRODUCT((Personnel!$F$9:$F$100="SixPeak")*(Personnel!$G$9:$G$100="Yes")*(50&gt;=Personnel!$E$9:$E$100)*((Personnel!$K$9:$K$100="")+(50&lt;=Personnel!$K$9:$K$100)&gt;0)*Personnel!$D$9:$D$100*(1-Personnel!$H$9:$H$100)*(1-Personnel!$I$9:$I$100)))*Escalation!$B$51</f>
        <v>58631.742</v>
      </c>
      <c r="BA5" s="289" t="n">
        <f aca="false">(SUMPRODUCT((Personnel!$F$9:$F$100="SixPeak")*(Personnel!$G$9:$G$100="Yes")*(51&gt;=Personnel!$E$9:$E$100)*((Personnel!$K$9:$K$100="")+(51&lt;=Personnel!$K$9:$K$100)&gt;0)*Personnel!$D$9:$D$100*(1-Personnel!$H$9:$H$100)*(1-Personnel!$I$9:$I$100)))*Escalation!$B$52</f>
        <v>58631.742</v>
      </c>
      <c r="BB5" s="289" t="n">
        <f aca="false">(SUMPRODUCT((Personnel!$F$9:$F$100="SixPeak")*(Personnel!$G$9:$G$100="Yes")*(52&gt;=Personnel!$E$9:$E$100)*((Personnel!$K$9:$K$100="")+(52&lt;=Personnel!$K$9:$K$100)&gt;0)*Personnel!$D$9:$D$100*(1-Personnel!$H$9:$H$100)*(1-Personnel!$I$9:$I$100)))*Escalation!$B$53</f>
        <v>58631.742</v>
      </c>
      <c r="BC5" s="289" t="n">
        <f aca="false">(SUMPRODUCT((Personnel!$F$9:$F$100="SixPeak")*(Personnel!$G$9:$G$100="Yes")*(53&gt;=Personnel!$E$9:$E$100)*((Personnel!$K$9:$K$100="")+(53&lt;=Personnel!$K$9:$K$100)&gt;0)*Personnel!$D$9:$D$100*(1-Personnel!$H$9:$H$100)*(1-Personnel!$I$9:$I$100)))*Escalation!$B$54</f>
        <v>58631.742</v>
      </c>
      <c r="BD5" s="289" t="n">
        <f aca="false">(SUMPRODUCT((Personnel!$F$9:$F$100="SixPeak")*(Personnel!$G$9:$G$100="Yes")*(54&gt;=Personnel!$E$9:$E$100)*((Personnel!$K$9:$K$100="")+(54&lt;=Personnel!$K$9:$K$100)&gt;0)*Personnel!$D$9:$D$100*(1-Personnel!$H$9:$H$100)*(1-Personnel!$I$9:$I$100)))*Escalation!$B$55</f>
        <v>58631.742</v>
      </c>
      <c r="BE5" s="289" t="n">
        <f aca="false">(SUMPRODUCT((Personnel!$F$9:$F$100="SixPeak")*(Personnel!$G$9:$G$100="Yes")*(55&gt;=Personnel!$E$9:$E$100)*((Personnel!$K$9:$K$100="")+(55&lt;=Personnel!$K$9:$K$100)&gt;0)*Personnel!$D$9:$D$100*(1-Personnel!$H$9:$H$100)*(1-Personnel!$I$9:$I$100)))*Escalation!$B$56</f>
        <v>58631.742</v>
      </c>
      <c r="BF5" s="289" t="n">
        <f aca="false">(SUMPRODUCT((Personnel!$F$9:$F$100="SixPeak")*(Personnel!$G$9:$G$100="Yes")*(56&gt;=Personnel!$E$9:$E$100)*((Personnel!$K$9:$K$100="")+(56&lt;=Personnel!$K$9:$K$100)&gt;0)*Personnel!$D$9:$D$100*(1-Personnel!$H$9:$H$100)*(1-Personnel!$I$9:$I$100)))*Escalation!$B$57</f>
        <v>58631.742</v>
      </c>
      <c r="BG5" s="289" t="n">
        <f aca="false">(SUMPRODUCT((Personnel!$F$9:$F$100="SixPeak")*(Personnel!$G$9:$G$100="Yes")*(57&gt;=Personnel!$E$9:$E$100)*((Personnel!$K$9:$K$100="")+(57&lt;=Personnel!$K$9:$K$100)&gt;0)*Personnel!$D$9:$D$100*(1-Personnel!$H$9:$H$100)*(1-Personnel!$I$9:$I$100)))*Escalation!$B$58</f>
        <v>58631.742</v>
      </c>
      <c r="BH5" s="289" t="n">
        <f aca="false">(SUMPRODUCT((Personnel!$F$9:$F$100="SixPeak")*(Personnel!$G$9:$G$100="Yes")*(58&gt;=Personnel!$E$9:$E$100)*((Personnel!$K$9:$K$100="")+(58&lt;=Personnel!$K$9:$K$100)&gt;0)*Personnel!$D$9:$D$100*(1-Personnel!$H$9:$H$100)*(1-Personnel!$I$9:$I$100)))*Escalation!$B$59</f>
        <v>58631.742</v>
      </c>
      <c r="BI5" s="289" t="n">
        <f aca="false">(SUMPRODUCT((Personnel!$F$9:$F$100="SixPeak")*(Personnel!$G$9:$G$100="Yes")*(59&gt;=Personnel!$E$9:$E$100)*((Personnel!$K$9:$K$100="")+(59&lt;=Personnel!$K$9:$K$100)&gt;0)*Personnel!$D$9:$D$100*(1-Personnel!$H$9:$H$100)*(1-Personnel!$I$9:$I$100)))*Escalation!$B$60</f>
        <v>58631.742</v>
      </c>
      <c r="BJ5" s="289" t="n">
        <f aca="false">(SUMPRODUCT((Personnel!$F$9:$F$100="SixPeak")*(Personnel!$G$9:$G$100="Yes")*(60&gt;=Personnel!$E$9:$E$100)*((Personnel!$K$9:$K$100="")+(60&lt;=Personnel!$K$9:$K$100)&gt;0)*Personnel!$D$9:$D$100*(1-Personnel!$H$9:$H$100)*(1-Personnel!$I$9:$I$100)))*Escalation!$B$61</f>
        <v>58631.742</v>
      </c>
      <c r="BK5" s="289" t="n">
        <f aca="false">(SUMPRODUCT((Personnel!$F$9:$F$100="SixPeak")*(Personnel!$G$9:$G$100="Yes")*(61&gt;=Personnel!$E$9:$E$100)*((Personnel!$K$9:$K$100="")+(61&lt;=Personnel!$K$9:$K$100)&gt;0)*Personnel!$D$9:$D$100*(1-Personnel!$H$9:$H$100)*(1-Personnel!$I$9:$I$100)))*Escalation!$B$62</f>
        <v>59804.37684</v>
      </c>
      <c r="BL5" s="289" t="n">
        <f aca="false">(SUMPRODUCT((Personnel!$F$9:$F$100="SixPeak")*(Personnel!$G$9:$G$100="Yes")*(62&gt;=Personnel!$E$9:$E$100)*((Personnel!$K$9:$K$100="")+(62&lt;=Personnel!$K$9:$K$100)&gt;0)*Personnel!$D$9:$D$100*(1-Personnel!$H$9:$H$100)*(1-Personnel!$I$9:$I$100)))*Escalation!$B$63</f>
        <v>59804.37684</v>
      </c>
      <c r="BM5" s="289" t="n">
        <f aca="false">(SUMPRODUCT((Personnel!$F$9:$F$100="SixPeak")*(Personnel!$G$9:$G$100="Yes")*(63&gt;=Personnel!$E$9:$E$100)*((Personnel!$K$9:$K$100="")+(63&lt;=Personnel!$K$9:$K$100)&gt;0)*Personnel!$D$9:$D$100*(1-Personnel!$H$9:$H$100)*(1-Personnel!$I$9:$I$100)))*Escalation!$B$64</f>
        <v>59804.37684</v>
      </c>
      <c r="BN5" s="289" t="n">
        <f aca="false">(SUMPRODUCT((Personnel!$F$9:$F$100="SixPeak")*(Personnel!$G$9:$G$100="Yes")*(64&gt;=Personnel!$E$9:$E$100)*((Personnel!$K$9:$K$100="")+(64&lt;=Personnel!$K$9:$K$100)&gt;0)*Personnel!$D$9:$D$100*(1-Personnel!$H$9:$H$100)*(1-Personnel!$I$9:$I$100)))*Escalation!$B$65</f>
        <v>59804.37684</v>
      </c>
      <c r="BO5" s="289" t="n">
        <f aca="false">(SUMPRODUCT((Personnel!$F$9:$F$100="SixPeak")*(Personnel!$G$9:$G$100="Yes")*(65&gt;=Personnel!$E$9:$E$100)*((Personnel!$K$9:$K$100="")+(65&lt;=Personnel!$K$9:$K$100)&gt;0)*Personnel!$D$9:$D$100*(1-Personnel!$H$9:$H$100)*(1-Personnel!$I$9:$I$100)))*Escalation!$B$66</f>
        <v>59804.37684</v>
      </c>
      <c r="BP5" s="289" t="n">
        <f aca="false">(SUMPRODUCT((Personnel!$F$9:$F$100="SixPeak")*(Personnel!$G$9:$G$100="Yes")*(66&gt;=Personnel!$E$9:$E$100)*((Personnel!$K$9:$K$100="")+(66&lt;=Personnel!$K$9:$K$100)&gt;0)*Personnel!$D$9:$D$100*(1-Personnel!$H$9:$H$100)*(1-Personnel!$I$9:$I$100)))*Escalation!$B$67</f>
        <v>59804.37684</v>
      </c>
      <c r="BQ5" s="289" t="n">
        <f aca="false">(SUMPRODUCT((Personnel!$F$9:$F$100="SixPeak")*(Personnel!$G$9:$G$100="Yes")*(67&gt;=Personnel!$E$9:$E$100)*((Personnel!$K$9:$K$100="")+(67&lt;=Personnel!$K$9:$K$100)&gt;0)*Personnel!$D$9:$D$100*(1-Personnel!$H$9:$H$100)*(1-Personnel!$I$9:$I$100)))*Escalation!$B$68</f>
        <v>59804.37684</v>
      </c>
      <c r="BR5" s="289" t="n">
        <f aca="false">(SUMPRODUCT((Personnel!$F$9:$F$100="SixPeak")*(Personnel!$G$9:$G$100="Yes")*(68&gt;=Personnel!$E$9:$E$100)*((Personnel!$K$9:$K$100="")+(68&lt;=Personnel!$K$9:$K$100)&gt;0)*Personnel!$D$9:$D$100*(1-Personnel!$H$9:$H$100)*(1-Personnel!$I$9:$I$100)))*Escalation!$B$69</f>
        <v>59804.37684</v>
      </c>
      <c r="BS5" s="289" t="n">
        <f aca="false">(SUMPRODUCT((Personnel!$F$9:$F$100="SixPeak")*(Personnel!$G$9:$G$100="Yes")*(69&gt;=Personnel!$E$9:$E$100)*((Personnel!$K$9:$K$100="")+(69&lt;=Personnel!$K$9:$K$100)&gt;0)*Personnel!$D$9:$D$100*(1-Personnel!$H$9:$H$100)*(1-Personnel!$I$9:$I$100)))*Escalation!$B$70</f>
        <v>59804.37684</v>
      </c>
      <c r="BT5" s="289" t="n">
        <f aca="false">(SUMPRODUCT((Personnel!$F$9:$F$100="SixPeak")*(Personnel!$G$9:$G$100="Yes")*(70&gt;=Personnel!$E$9:$E$100)*((Personnel!$K$9:$K$100="")+(70&lt;=Personnel!$K$9:$K$100)&gt;0)*Personnel!$D$9:$D$100*(1-Personnel!$H$9:$H$100)*(1-Personnel!$I$9:$I$100)))*Escalation!$B$71</f>
        <v>59804.37684</v>
      </c>
      <c r="BU5" s="289" t="n">
        <f aca="false">(SUMPRODUCT((Personnel!$F$9:$F$100="SixPeak")*(Personnel!$G$9:$G$100="Yes")*(71&gt;=Personnel!$E$9:$E$100)*((Personnel!$K$9:$K$100="")+(71&lt;=Personnel!$K$9:$K$100)&gt;0)*Personnel!$D$9:$D$100*(1-Personnel!$H$9:$H$100)*(1-Personnel!$I$9:$I$100)))*Escalation!$B$72</f>
        <v>59804.37684</v>
      </c>
      <c r="BV5" s="289" t="n">
        <f aca="false">(SUMPRODUCT((Personnel!$F$9:$F$100="SixPeak")*(Personnel!$G$9:$G$100="Yes")*(72&gt;=Personnel!$E$9:$E$100)*((Personnel!$K$9:$K$100="")+(72&lt;=Personnel!$K$9:$K$100)&gt;0)*Personnel!$D$9:$D$100*(1-Personnel!$H$9:$H$100)*(1-Personnel!$I$9:$I$100)))*Escalation!$B$73</f>
        <v>59804.37684</v>
      </c>
      <c r="BW5" s="289" t="n">
        <f aca="false">(SUMPRODUCT((Personnel!$F$9:$F$100="SixPeak")*(Personnel!$G$9:$G$100="Yes")*(73&gt;=Personnel!$E$9:$E$100)*((Personnel!$K$9:$K$100="")+(73&lt;=Personnel!$K$9:$K$100)&gt;0)*Personnel!$D$9:$D$100*(1-Personnel!$H$9:$H$100)*(1-Personnel!$I$9:$I$100)))*Escalation!$B$74</f>
        <v>61000.4643768</v>
      </c>
      <c r="BX5" s="289" t="n">
        <f aca="false">(SUMPRODUCT((Personnel!$F$9:$F$100="SixPeak")*(Personnel!$G$9:$G$100="Yes")*(74&gt;=Personnel!$E$9:$E$100)*((Personnel!$K$9:$K$100="")+(74&lt;=Personnel!$K$9:$K$100)&gt;0)*Personnel!$D$9:$D$100*(1-Personnel!$H$9:$H$100)*(1-Personnel!$I$9:$I$100)))*Escalation!$B$75</f>
        <v>61000.4643768</v>
      </c>
      <c r="BY5" s="289" t="n">
        <f aca="false">(SUMPRODUCT((Personnel!$F$9:$F$100="SixPeak")*(Personnel!$G$9:$G$100="Yes")*(75&gt;=Personnel!$E$9:$E$100)*((Personnel!$K$9:$K$100="")+(75&lt;=Personnel!$K$9:$K$100)&gt;0)*Personnel!$D$9:$D$100*(1-Personnel!$H$9:$H$100)*(1-Personnel!$I$9:$I$100)))*Escalation!$B$76</f>
        <v>61000.4643768</v>
      </c>
      <c r="BZ5" s="289" t="n">
        <f aca="false">(SUMPRODUCT((Personnel!$F$9:$F$100="SixPeak")*(Personnel!$G$9:$G$100="Yes")*(76&gt;=Personnel!$E$9:$E$100)*((Personnel!$K$9:$K$100="")+(76&lt;=Personnel!$K$9:$K$100)&gt;0)*Personnel!$D$9:$D$100*(1-Personnel!$H$9:$H$100)*(1-Personnel!$I$9:$I$100)))*Escalation!$B$77</f>
        <v>61000.4643768</v>
      </c>
      <c r="CA5" s="289" t="n">
        <f aca="false">(SUMPRODUCT((Personnel!$F$9:$F$100="SixPeak")*(Personnel!$G$9:$G$100="Yes")*(77&gt;=Personnel!$E$9:$E$100)*((Personnel!$K$9:$K$100="")+(77&lt;=Personnel!$K$9:$K$100)&gt;0)*Personnel!$D$9:$D$100*(1-Personnel!$H$9:$H$100)*(1-Personnel!$I$9:$I$100)))*Escalation!$B$78</f>
        <v>61000.4643768</v>
      </c>
      <c r="CB5" s="289" t="n">
        <f aca="false">(SUMPRODUCT((Personnel!$F$9:$F$100="SixPeak")*(Personnel!$G$9:$G$100="Yes")*(78&gt;=Personnel!$E$9:$E$100)*((Personnel!$K$9:$K$100="")+(78&lt;=Personnel!$K$9:$K$100)&gt;0)*Personnel!$D$9:$D$100*(1-Personnel!$H$9:$H$100)*(1-Personnel!$I$9:$I$100)))*Escalation!$B$79</f>
        <v>61000.4643768</v>
      </c>
      <c r="CC5" s="289" t="n">
        <f aca="false">(SUMPRODUCT((Personnel!$F$9:$F$100="SixPeak")*(Personnel!$G$9:$G$100="Yes")*(79&gt;=Personnel!$E$9:$E$100)*((Personnel!$K$9:$K$100="")+(79&lt;=Personnel!$K$9:$K$100)&gt;0)*Personnel!$D$9:$D$100*(1-Personnel!$H$9:$H$100)*(1-Personnel!$I$9:$I$100)))*Escalation!$B$80</f>
        <v>61000.4643768</v>
      </c>
      <c r="CD5" s="289" t="n">
        <f aca="false">(SUMPRODUCT((Personnel!$F$9:$F$100="SixPeak")*(Personnel!$G$9:$G$100="Yes")*(80&gt;=Personnel!$E$9:$E$100)*((Personnel!$K$9:$K$100="")+(80&lt;=Personnel!$K$9:$K$100)&gt;0)*Personnel!$D$9:$D$100*(1-Personnel!$H$9:$H$100)*(1-Personnel!$I$9:$I$100)))*Escalation!$B$81</f>
        <v>61000.4643768</v>
      </c>
      <c r="CE5" s="289" t="n">
        <f aca="false">(SUMPRODUCT((Personnel!$F$9:$F$100="SixPeak")*(Personnel!$G$9:$G$100="Yes")*(81&gt;=Personnel!$E$9:$E$100)*((Personnel!$K$9:$K$100="")+(81&lt;=Personnel!$K$9:$K$100)&gt;0)*Personnel!$D$9:$D$100*(1-Personnel!$H$9:$H$100)*(1-Personnel!$I$9:$I$100)))*Escalation!$B$82</f>
        <v>61000.4643768</v>
      </c>
      <c r="CF5" s="289" t="n">
        <f aca="false">(SUMPRODUCT((Personnel!$F$9:$F$100="SixPeak")*(Personnel!$G$9:$G$100="Yes")*(82&gt;=Personnel!$E$9:$E$100)*((Personnel!$K$9:$K$100="")+(82&lt;=Personnel!$K$9:$K$100)&gt;0)*Personnel!$D$9:$D$100*(1-Personnel!$H$9:$H$100)*(1-Personnel!$I$9:$I$100)))*Escalation!$B$83</f>
        <v>61000.4643768</v>
      </c>
      <c r="CG5" s="289" t="n">
        <f aca="false">(SUMPRODUCT((Personnel!$F$9:$F$100="SixPeak")*(Personnel!$G$9:$G$100="Yes")*(83&gt;=Personnel!$E$9:$E$100)*((Personnel!$K$9:$K$100="")+(83&lt;=Personnel!$K$9:$K$100)&gt;0)*Personnel!$D$9:$D$100*(1-Personnel!$H$9:$H$100)*(1-Personnel!$I$9:$I$100)))*Escalation!$B$84</f>
        <v>61000.4643768</v>
      </c>
      <c r="CH5" s="289" t="n">
        <f aca="false">(SUMPRODUCT((Personnel!$F$9:$F$100="SixPeak")*(Personnel!$G$9:$G$100="Yes")*(84&gt;=Personnel!$E$9:$E$100)*((Personnel!$K$9:$K$100="")+(84&lt;=Personnel!$K$9:$K$100)&gt;0)*Personnel!$D$9:$D$100*(1-Personnel!$H$9:$H$100)*(1-Personnel!$I$9:$I$100)))*Escalation!$B$85</f>
        <v>61000.4643768</v>
      </c>
      <c r="CI5" s="289" t="n">
        <f aca="false">(SUMPRODUCT((Personnel!$F$9:$F$100="SixPeak")*(Personnel!$G$9:$G$100="Yes")*(85&gt;=Personnel!$E$9:$E$100)*((Personnel!$K$9:$K$100="")+(85&lt;=Personnel!$K$9:$K$100)&gt;0)*Personnel!$D$9:$D$100*(1-Personnel!$H$9:$H$100)*(1-Personnel!$I$9:$I$100)))*Escalation!$B$86</f>
        <v>62220.473664336</v>
      </c>
      <c r="CJ5" s="289" t="n">
        <f aca="false">(SUMPRODUCT((Personnel!$F$9:$F$100="SixPeak")*(Personnel!$G$9:$G$100="Yes")*(86&gt;=Personnel!$E$9:$E$100)*((Personnel!$K$9:$K$100="")+(86&lt;=Personnel!$K$9:$K$100)&gt;0)*Personnel!$D$9:$D$100*(1-Personnel!$H$9:$H$100)*(1-Personnel!$I$9:$I$100)))*Escalation!$B$87</f>
        <v>62220.473664336</v>
      </c>
      <c r="CK5" s="289" t="n">
        <f aca="false">(SUMPRODUCT((Personnel!$F$9:$F$100="SixPeak")*(Personnel!$G$9:$G$100="Yes")*(87&gt;=Personnel!$E$9:$E$100)*((Personnel!$K$9:$K$100="")+(87&lt;=Personnel!$K$9:$K$100)&gt;0)*Personnel!$D$9:$D$100*(1-Personnel!$H$9:$H$100)*(1-Personnel!$I$9:$I$100)))*Escalation!$B$88</f>
        <v>62220.473664336</v>
      </c>
      <c r="CL5" s="289" t="n">
        <f aca="false">(SUMPRODUCT((Personnel!$F$9:$F$100="SixPeak")*(Personnel!$G$9:$G$100="Yes")*(88&gt;=Personnel!$E$9:$E$100)*((Personnel!$K$9:$K$100="")+(88&lt;=Personnel!$K$9:$K$100)&gt;0)*Personnel!$D$9:$D$100*(1-Personnel!$H$9:$H$100)*(1-Personnel!$I$9:$I$100)))*Escalation!$B$89</f>
        <v>62220.473664336</v>
      </c>
      <c r="CM5" s="289" t="n">
        <f aca="false">(SUMPRODUCT((Personnel!$F$9:$F$100="SixPeak")*(Personnel!$G$9:$G$100="Yes")*(89&gt;=Personnel!$E$9:$E$100)*((Personnel!$K$9:$K$100="")+(89&lt;=Personnel!$K$9:$K$100)&gt;0)*Personnel!$D$9:$D$100*(1-Personnel!$H$9:$H$100)*(1-Personnel!$I$9:$I$100)))*Escalation!$B$90</f>
        <v>62220.473664336</v>
      </c>
      <c r="CN5" s="289" t="n">
        <f aca="false">(SUMPRODUCT((Personnel!$F$9:$F$100="SixPeak")*(Personnel!$G$9:$G$100="Yes")*(90&gt;=Personnel!$E$9:$E$100)*((Personnel!$K$9:$K$100="")+(90&lt;=Personnel!$K$9:$K$100)&gt;0)*Personnel!$D$9:$D$100*(1-Personnel!$H$9:$H$100)*(1-Personnel!$I$9:$I$100)))*Escalation!$B$91</f>
        <v>62220.473664336</v>
      </c>
      <c r="CO5" s="289" t="n">
        <f aca="false">(SUMPRODUCT((Personnel!$F$9:$F$100="SixPeak")*(Personnel!$G$9:$G$100="Yes")*(91&gt;=Personnel!$E$9:$E$100)*((Personnel!$K$9:$K$100="")+(91&lt;=Personnel!$K$9:$K$100)&gt;0)*Personnel!$D$9:$D$100*(1-Personnel!$H$9:$H$100)*(1-Personnel!$I$9:$I$100)))*Escalation!$B$92</f>
        <v>62220.473664336</v>
      </c>
      <c r="CP5" s="289" t="n">
        <f aca="false">(SUMPRODUCT((Personnel!$F$9:$F$100="SixPeak")*(Personnel!$G$9:$G$100="Yes")*(92&gt;=Personnel!$E$9:$E$100)*((Personnel!$K$9:$K$100="")+(92&lt;=Personnel!$K$9:$K$100)&gt;0)*Personnel!$D$9:$D$100*(1-Personnel!$H$9:$H$100)*(1-Personnel!$I$9:$I$100)))*Escalation!$B$93</f>
        <v>62220.473664336</v>
      </c>
      <c r="CQ5" s="289"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1148</v>
      </c>
    </row>
    <row r="8" customFormat="false" ht="15" hidden="false" customHeight="true" outlineLevel="0" collapsed="false">
      <c r="A8" s="177" t="s">
        <v>9</v>
      </c>
      <c r="C8" s="289" t="n">
        <v>11187175.79</v>
      </c>
      <c r="D8" s="289" t="n">
        <v>10356493.69</v>
      </c>
      <c r="E8" s="289" t="n">
        <v>9450240.48</v>
      </c>
      <c r="F8" s="289" t="n">
        <v>8485833.11</v>
      </c>
      <c r="G8" s="289" t="n">
        <v>6546008.3</v>
      </c>
      <c r="H8" s="289" t="n">
        <v>5950977.14</v>
      </c>
      <c r="I8" s="289" t="n">
        <v>5403449.04</v>
      </c>
      <c r="J8" s="289" t="n">
        <v>4778618.53</v>
      </c>
      <c r="K8" s="289" t="n">
        <v>4012283.82</v>
      </c>
      <c r="L8" s="289" t="n">
        <v>3317496.87</v>
      </c>
      <c r="M8" s="289" t="n">
        <v>2693094.26</v>
      </c>
      <c r="N8" s="289" t="n">
        <v>1981609.96</v>
      </c>
      <c r="O8" s="289" t="n">
        <v>1250721.11</v>
      </c>
      <c r="P8" s="289" t="n">
        <v>661631.3</v>
      </c>
      <c r="Q8" s="289" t="n">
        <v>297802.14</v>
      </c>
      <c r="R8" s="289" t="n">
        <v>126194.42</v>
      </c>
      <c r="S8" s="289" t="n">
        <v>0</v>
      </c>
      <c r="T8" s="289" t="n">
        <v>0</v>
      </c>
      <c r="U8" s="289" t="n">
        <v>0</v>
      </c>
      <c r="V8" s="289" t="n">
        <v>0</v>
      </c>
      <c r="W8" s="289" t="n">
        <v>0</v>
      </c>
      <c r="X8" s="289" t="n">
        <v>0</v>
      </c>
      <c r="Y8" s="289" t="n">
        <v>0</v>
      </c>
      <c r="Z8" s="289" t="n">
        <v>0</v>
      </c>
      <c r="AA8" s="289" t="n">
        <v>0</v>
      </c>
      <c r="AB8" s="289" t="n">
        <v>0</v>
      </c>
      <c r="AC8" s="289" t="n">
        <v>0</v>
      </c>
      <c r="AD8" s="289" t="n">
        <v>0</v>
      </c>
      <c r="AE8" s="289" t="n">
        <v>0</v>
      </c>
      <c r="AF8" s="289" t="n">
        <v>0</v>
      </c>
      <c r="AG8" s="289" t="n">
        <v>0</v>
      </c>
      <c r="AH8" s="289" t="n">
        <v>0</v>
      </c>
      <c r="AI8" s="289" t="n">
        <v>0</v>
      </c>
      <c r="AJ8" s="289" t="n">
        <v>0</v>
      </c>
      <c r="AK8" s="289" t="n">
        <v>0</v>
      </c>
      <c r="AL8" s="289" t="n">
        <v>0</v>
      </c>
      <c r="AM8" s="289" t="n">
        <v>0</v>
      </c>
      <c r="AN8" s="289" t="n">
        <v>0</v>
      </c>
      <c r="AO8" s="289" t="n">
        <v>0</v>
      </c>
      <c r="AP8" s="289" t="n">
        <v>0</v>
      </c>
      <c r="AQ8" s="289" t="n">
        <v>0</v>
      </c>
      <c r="AR8" s="289" t="n">
        <v>0</v>
      </c>
      <c r="AS8" s="289" t="n">
        <v>0</v>
      </c>
      <c r="AT8" s="289" t="n">
        <v>0</v>
      </c>
      <c r="AU8" s="289" t="n">
        <v>0</v>
      </c>
      <c r="AV8" s="289" t="n">
        <v>0</v>
      </c>
      <c r="AW8" s="289" t="n">
        <v>0</v>
      </c>
      <c r="AX8" s="289" t="n">
        <v>0</v>
      </c>
      <c r="AY8" s="289" t="n">
        <v>0</v>
      </c>
      <c r="AZ8" s="289" t="n">
        <v>0</v>
      </c>
      <c r="BA8" s="289" t="n">
        <v>0</v>
      </c>
      <c r="BB8" s="289" t="n">
        <v>0</v>
      </c>
      <c r="BC8" s="289" t="n">
        <v>0</v>
      </c>
      <c r="BD8" s="289" t="n">
        <v>0</v>
      </c>
      <c r="BE8" s="289" t="n">
        <v>0</v>
      </c>
      <c r="BF8" s="289" t="n">
        <v>0</v>
      </c>
      <c r="BG8" s="289" t="n">
        <v>0</v>
      </c>
      <c r="BH8" s="289" t="n">
        <v>0</v>
      </c>
      <c r="BI8" s="289" t="n">
        <v>0</v>
      </c>
      <c r="BJ8" s="289" t="n">
        <v>0</v>
      </c>
      <c r="BK8" s="289" t="n">
        <v>0</v>
      </c>
      <c r="BL8" s="289" t="n">
        <v>0</v>
      </c>
      <c r="BM8" s="289" t="n">
        <v>0</v>
      </c>
      <c r="BN8" s="289" t="n">
        <v>0</v>
      </c>
      <c r="BO8" s="289" t="n">
        <v>0</v>
      </c>
      <c r="BP8" s="289" t="n">
        <v>0</v>
      </c>
      <c r="BQ8" s="289" t="n">
        <v>0</v>
      </c>
      <c r="BR8" s="289" t="n">
        <v>0</v>
      </c>
      <c r="BS8" s="289" t="n">
        <v>0</v>
      </c>
      <c r="BT8" s="289" t="n">
        <v>0</v>
      </c>
      <c r="BU8" s="289" t="n">
        <v>0</v>
      </c>
      <c r="BV8" s="289" t="n">
        <v>0</v>
      </c>
      <c r="BW8" s="289" t="n">
        <v>0</v>
      </c>
      <c r="BX8" s="289" t="n">
        <v>0</v>
      </c>
      <c r="BY8" s="289" t="n">
        <v>0</v>
      </c>
      <c r="BZ8" s="289" t="n">
        <v>0</v>
      </c>
      <c r="CA8" s="289" t="n">
        <v>0</v>
      </c>
      <c r="CB8" s="289" t="n">
        <v>0</v>
      </c>
      <c r="CC8" s="289" t="n">
        <v>0</v>
      </c>
      <c r="CD8" s="289" t="n">
        <v>0</v>
      </c>
      <c r="CE8" s="289" t="n">
        <v>0</v>
      </c>
      <c r="CF8" s="289" t="n">
        <v>0</v>
      </c>
      <c r="CG8" s="289" t="n">
        <v>0</v>
      </c>
      <c r="CH8" s="289" t="n">
        <v>0</v>
      </c>
      <c r="CI8" s="289" t="n">
        <v>0</v>
      </c>
      <c r="CJ8" s="289" t="n">
        <v>0</v>
      </c>
      <c r="CK8" s="289" t="n">
        <v>0</v>
      </c>
      <c r="CL8" s="289" t="n">
        <v>0</v>
      </c>
      <c r="CM8" s="289" t="n">
        <v>0</v>
      </c>
      <c r="CN8" s="289" t="n">
        <v>0</v>
      </c>
      <c r="CO8" s="289" t="n">
        <v>0</v>
      </c>
      <c r="CP8" s="289" t="n">
        <v>0</v>
      </c>
      <c r="CQ8" s="289" t="n">
        <v>0</v>
      </c>
    </row>
    <row r="9" customFormat="false" ht="15" hidden="false" customHeight="true" outlineLevel="0" collapsed="false">
      <c r="A9" s="177" t="s">
        <v>10</v>
      </c>
      <c r="C9" s="289" t="n">
        <v>13529664.56</v>
      </c>
      <c r="D9" s="289" t="n">
        <v>12525045.48</v>
      </c>
      <c r="E9" s="289" t="n">
        <v>11429031.43</v>
      </c>
      <c r="F9" s="289" t="n">
        <v>10262686.27</v>
      </c>
      <c r="G9" s="289" t="n">
        <v>9354156.4</v>
      </c>
      <c r="H9" s="289" t="n">
        <v>8576474.68</v>
      </c>
      <c r="I9" s="289" t="n">
        <v>7686708.76</v>
      </c>
      <c r="J9" s="289" t="n">
        <v>7003935.62</v>
      </c>
      <c r="K9" s="289" t="n">
        <v>6232412.67</v>
      </c>
      <c r="L9" s="289" t="n">
        <v>5543806.21</v>
      </c>
      <c r="M9" s="289" t="n">
        <v>4887352.83</v>
      </c>
      <c r="N9" s="289" t="n">
        <v>4294423.23</v>
      </c>
      <c r="O9" s="289" t="n">
        <v>3826241.58</v>
      </c>
      <c r="P9" s="289" t="n">
        <v>3410361.03</v>
      </c>
      <c r="Q9" s="289" t="n">
        <v>2510448.86</v>
      </c>
      <c r="R9" s="289" t="n">
        <v>1384588.44</v>
      </c>
      <c r="S9" s="289" t="n">
        <v>631341.78</v>
      </c>
      <c r="T9" s="289" t="n">
        <v>164743.84</v>
      </c>
      <c r="U9" s="289" t="n">
        <v>0</v>
      </c>
      <c r="V9" s="289" t="n">
        <v>0</v>
      </c>
      <c r="W9" s="289" t="n">
        <v>0</v>
      </c>
      <c r="X9" s="289" t="n">
        <v>0</v>
      </c>
      <c r="Y9" s="289" t="n">
        <v>0</v>
      </c>
      <c r="Z9" s="289" t="n">
        <v>0</v>
      </c>
      <c r="AA9" s="289" t="n">
        <v>0</v>
      </c>
      <c r="AB9" s="289" t="n">
        <v>0</v>
      </c>
      <c r="AC9" s="289" t="n">
        <v>0</v>
      </c>
      <c r="AD9" s="289" t="n">
        <v>0</v>
      </c>
      <c r="AE9" s="289" t="n">
        <v>0</v>
      </c>
      <c r="AF9" s="289" t="n">
        <v>0</v>
      </c>
      <c r="AG9" s="289" t="n">
        <v>0</v>
      </c>
      <c r="AH9" s="289" t="n">
        <v>0</v>
      </c>
      <c r="AI9" s="289" t="n">
        <v>0</v>
      </c>
      <c r="AJ9" s="289" t="n">
        <v>0</v>
      </c>
      <c r="AK9" s="289" t="n">
        <v>0</v>
      </c>
      <c r="AL9" s="289" t="n">
        <v>0</v>
      </c>
      <c r="AM9" s="289" t="n">
        <v>0</v>
      </c>
      <c r="AN9" s="289" t="n">
        <v>0</v>
      </c>
      <c r="AO9" s="289" t="n">
        <v>0</v>
      </c>
      <c r="AP9" s="289" t="n">
        <v>0</v>
      </c>
      <c r="AQ9" s="289" t="n">
        <v>0</v>
      </c>
      <c r="AR9" s="289" t="n">
        <v>0</v>
      </c>
      <c r="AS9" s="289" t="n">
        <v>0</v>
      </c>
      <c r="AT9" s="289" t="n">
        <v>0</v>
      </c>
      <c r="AU9" s="289" t="n">
        <v>0</v>
      </c>
      <c r="AV9" s="289" t="n">
        <v>0</v>
      </c>
      <c r="AW9" s="289" t="n">
        <v>0</v>
      </c>
      <c r="AX9" s="289" t="n">
        <v>0</v>
      </c>
      <c r="AY9" s="289" t="n">
        <v>0</v>
      </c>
      <c r="AZ9" s="289" t="n">
        <v>0</v>
      </c>
      <c r="BA9" s="289" t="n">
        <v>0</v>
      </c>
      <c r="BB9" s="289" t="n">
        <v>0</v>
      </c>
      <c r="BC9" s="289" t="n">
        <v>0</v>
      </c>
      <c r="BD9" s="289" t="n">
        <v>0</v>
      </c>
      <c r="BE9" s="289" t="n">
        <v>0</v>
      </c>
      <c r="BF9" s="289" t="n">
        <v>0</v>
      </c>
      <c r="BG9" s="289" t="n">
        <v>0</v>
      </c>
      <c r="BH9" s="289" t="n">
        <v>0</v>
      </c>
      <c r="BI9" s="289" t="n">
        <v>0</v>
      </c>
      <c r="BJ9" s="289" t="n">
        <v>0</v>
      </c>
      <c r="BK9" s="289" t="n">
        <v>0</v>
      </c>
      <c r="BL9" s="289" t="n">
        <v>0</v>
      </c>
      <c r="BM9" s="289" t="n">
        <v>0</v>
      </c>
      <c r="BN9" s="289" t="n">
        <v>0</v>
      </c>
      <c r="BO9" s="289" t="n">
        <v>0</v>
      </c>
      <c r="BP9" s="289" t="n">
        <v>0</v>
      </c>
      <c r="BQ9" s="289" t="n">
        <v>0</v>
      </c>
      <c r="BR9" s="289" t="n">
        <v>0</v>
      </c>
      <c r="BS9" s="289" t="n">
        <v>0</v>
      </c>
      <c r="BT9" s="289" t="n">
        <v>0</v>
      </c>
      <c r="BU9" s="289" t="n">
        <v>0</v>
      </c>
      <c r="BV9" s="289" t="n">
        <v>0</v>
      </c>
      <c r="BW9" s="289" t="n">
        <v>0</v>
      </c>
      <c r="BX9" s="289" t="n">
        <v>0</v>
      </c>
      <c r="BY9" s="289" t="n">
        <v>0</v>
      </c>
      <c r="BZ9" s="289" t="n">
        <v>0</v>
      </c>
      <c r="CA9" s="289" t="n">
        <v>0</v>
      </c>
      <c r="CB9" s="289" t="n">
        <v>0</v>
      </c>
      <c r="CC9" s="289" t="n">
        <v>0</v>
      </c>
      <c r="CD9" s="289" t="n">
        <v>0</v>
      </c>
      <c r="CE9" s="289" t="n">
        <v>0</v>
      </c>
      <c r="CF9" s="289" t="n">
        <v>0</v>
      </c>
      <c r="CG9" s="289" t="n">
        <v>0</v>
      </c>
      <c r="CH9" s="289" t="n">
        <v>0</v>
      </c>
      <c r="CI9" s="289" t="n">
        <v>0</v>
      </c>
      <c r="CJ9" s="289" t="n">
        <v>0</v>
      </c>
      <c r="CK9" s="289" t="n">
        <v>0</v>
      </c>
      <c r="CL9" s="289" t="n">
        <v>0</v>
      </c>
      <c r="CM9" s="289" t="n">
        <v>0</v>
      </c>
      <c r="CN9" s="289" t="n">
        <v>0</v>
      </c>
      <c r="CO9" s="289" t="n">
        <v>0</v>
      </c>
      <c r="CP9" s="289" t="n">
        <v>0</v>
      </c>
      <c r="CQ9" s="289" t="n">
        <v>0</v>
      </c>
    </row>
    <row r="10" customFormat="false" ht="15" hidden="false" customHeight="true" outlineLevel="0" collapsed="false">
      <c r="A10" s="177" t="s">
        <v>12</v>
      </c>
      <c r="C10" s="289" t="n">
        <v>0</v>
      </c>
      <c r="D10" s="289" t="n">
        <v>0</v>
      </c>
      <c r="E10" s="289" t="n">
        <v>0</v>
      </c>
      <c r="F10" s="289" t="n">
        <v>0</v>
      </c>
      <c r="G10" s="289" t="n">
        <v>42418193.38</v>
      </c>
      <c r="H10" s="289" t="n">
        <v>41557159.51</v>
      </c>
      <c r="I10" s="289" t="n">
        <v>40347746.5</v>
      </c>
      <c r="J10" s="289" t="n">
        <v>39561567.49</v>
      </c>
      <c r="K10" s="289" t="n">
        <v>38972367.12</v>
      </c>
      <c r="L10" s="289" t="n">
        <v>38221747.38</v>
      </c>
      <c r="M10" s="289" t="n">
        <v>37614512.89</v>
      </c>
      <c r="N10" s="289" t="n">
        <v>36881872.23</v>
      </c>
      <c r="O10" s="289" t="n">
        <v>36263088.93</v>
      </c>
      <c r="P10" s="289" t="n">
        <v>35502601.32</v>
      </c>
      <c r="Q10" s="289" t="n">
        <v>34787831.07</v>
      </c>
      <c r="R10" s="289" t="n">
        <v>33505756.49</v>
      </c>
      <c r="S10" s="289" t="n">
        <v>32686448.68</v>
      </c>
      <c r="T10" s="289" t="n">
        <v>30243213.22</v>
      </c>
      <c r="U10" s="289" t="n">
        <v>28699798.34</v>
      </c>
      <c r="V10" s="289" t="n">
        <v>25529541</v>
      </c>
      <c r="W10" s="289" t="n">
        <v>23704130.61</v>
      </c>
      <c r="X10" s="289" t="n">
        <v>20828303.45</v>
      </c>
      <c r="Y10" s="289" t="n">
        <v>18426892.45</v>
      </c>
      <c r="Z10" s="289" t="n">
        <v>16789882.88</v>
      </c>
      <c r="AA10" s="289" t="n">
        <v>15753895.35</v>
      </c>
      <c r="AB10" s="289" t="n">
        <v>14527106.83</v>
      </c>
      <c r="AC10" s="289" t="n">
        <v>13375707.75</v>
      </c>
      <c r="AD10" s="289" t="n">
        <v>11951889.75</v>
      </c>
      <c r="AE10" s="289" t="n">
        <v>9479263.81</v>
      </c>
      <c r="AF10" s="289" t="n">
        <v>7184499.57</v>
      </c>
      <c r="AG10" s="289" t="n">
        <v>4941005.43</v>
      </c>
      <c r="AH10" s="289" t="n">
        <v>3716991.2</v>
      </c>
      <c r="AI10" s="289" t="n">
        <v>2700888.54</v>
      </c>
      <c r="AJ10" s="289" t="n">
        <v>1565814.84</v>
      </c>
      <c r="AK10" s="289" t="n">
        <v>331958.4</v>
      </c>
      <c r="AL10" s="289" t="n">
        <v>0</v>
      </c>
      <c r="AM10" s="289" t="n">
        <v>0</v>
      </c>
      <c r="AN10" s="289" t="n">
        <v>0</v>
      </c>
      <c r="AO10" s="289" t="n">
        <v>0</v>
      </c>
      <c r="AP10" s="289" t="n">
        <v>0</v>
      </c>
      <c r="AQ10" s="289" t="n">
        <v>0</v>
      </c>
      <c r="AR10" s="289" t="n">
        <v>0</v>
      </c>
      <c r="AS10" s="289" t="n">
        <v>0</v>
      </c>
      <c r="AT10" s="289" t="n">
        <v>0</v>
      </c>
      <c r="AU10" s="289" t="n">
        <v>0</v>
      </c>
      <c r="AV10" s="289" t="n">
        <v>0</v>
      </c>
      <c r="AW10" s="289" t="n">
        <v>0</v>
      </c>
      <c r="AX10" s="289" t="n">
        <v>0</v>
      </c>
      <c r="AY10" s="289" t="n">
        <v>0</v>
      </c>
      <c r="AZ10" s="289" t="n">
        <v>0</v>
      </c>
      <c r="BA10" s="289" t="n">
        <v>0</v>
      </c>
      <c r="BB10" s="289" t="n">
        <v>0</v>
      </c>
      <c r="BC10" s="289" t="n">
        <v>0</v>
      </c>
      <c r="BD10" s="289" t="n">
        <v>0</v>
      </c>
      <c r="BE10" s="289" t="n">
        <v>0</v>
      </c>
      <c r="BF10" s="289" t="n">
        <v>0</v>
      </c>
      <c r="BG10" s="289" t="n">
        <v>0</v>
      </c>
      <c r="BH10" s="289" t="n">
        <v>0</v>
      </c>
      <c r="BI10" s="289" t="n">
        <v>0</v>
      </c>
      <c r="BJ10" s="289" t="n">
        <v>0</v>
      </c>
      <c r="BK10" s="289" t="n">
        <v>0</v>
      </c>
      <c r="BL10" s="289" t="n">
        <v>0</v>
      </c>
      <c r="BM10" s="289" t="n">
        <v>0</v>
      </c>
      <c r="BN10" s="289" t="n">
        <v>0</v>
      </c>
      <c r="BO10" s="289" t="n">
        <v>0</v>
      </c>
      <c r="BP10" s="289" t="n">
        <v>0</v>
      </c>
      <c r="BQ10" s="289" t="n">
        <v>0</v>
      </c>
      <c r="BR10" s="289" t="n">
        <v>0</v>
      </c>
      <c r="BS10" s="289" t="n">
        <v>0</v>
      </c>
      <c r="BT10" s="289" t="n">
        <v>0</v>
      </c>
      <c r="BU10" s="289" t="n">
        <v>0</v>
      </c>
      <c r="BV10" s="289" t="n">
        <v>0</v>
      </c>
      <c r="BW10" s="289" t="n">
        <v>0</v>
      </c>
      <c r="BX10" s="289" t="n">
        <v>0</v>
      </c>
      <c r="BY10" s="289" t="n">
        <v>0</v>
      </c>
      <c r="BZ10" s="289" t="n">
        <v>0</v>
      </c>
      <c r="CA10" s="289" t="n">
        <v>0</v>
      </c>
      <c r="CB10" s="289" t="n">
        <v>0</v>
      </c>
      <c r="CC10" s="289" t="n">
        <v>0</v>
      </c>
      <c r="CD10" s="289" t="n">
        <v>0</v>
      </c>
      <c r="CE10" s="289" t="n">
        <v>0</v>
      </c>
      <c r="CF10" s="289" t="n">
        <v>0</v>
      </c>
      <c r="CG10" s="289" t="n">
        <v>0</v>
      </c>
      <c r="CH10" s="289" t="n">
        <v>0</v>
      </c>
      <c r="CI10" s="289" t="n">
        <v>0</v>
      </c>
      <c r="CJ10" s="289" t="n">
        <v>0</v>
      </c>
      <c r="CK10" s="289" t="n">
        <v>0</v>
      </c>
      <c r="CL10" s="289" t="n">
        <v>0</v>
      </c>
      <c r="CM10" s="289" t="n">
        <v>0</v>
      </c>
      <c r="CN10" s="289" t="n">
        <v>0</v>
      </c>
      <c r="CO10" s="289" t="n">
        <v>0</v>
      </c>
      <c r="CP10" s="289" t="n">
        <v>0</v>
      </c>
      <c r="CQ10" s="289" t="n">
        <v>0</v>
      </c>
    </row>
    <row r="11" customFormat="false" ht="15" hidden="false" customHeight="true" outlineLevel="0" collapsed="false">
      <c r="A11" s="177" t="s">
        <v>13</v>
      </c>
      <c r="C11" s="289" t="n">
        <f aca="false">IF(AND(Projects!$G$8="Yes",Projects!$F$8="Yes",1&gt;=Projects!$C$8,1&lt;Projects!$C$8+Projects!$D$8),Projects!$B$8*(1-SUMPRODUCT((Curves!$B$4:$AO$4)*(COLUMN(Curves!$B$4:$AO$4)-COLUMN(Curves!$B$4)+1&lt;=1-Projects!$C$8+1))),0)</f>
        <v>0</v>
      </c>
      <c r="D11" s="289" t="n">
        <f aca="false">IF(AND(Projects!$G$8="Yes",Projects!$F$8="Yes",2&gt;=Projects!$C$8,2&lt;Projects!$C$8+Projects!$D$8),Projects!$B$8*(1-SUMPRODUCT((Curves!$B$4:$AO$4)*(COLUMN(Curves!$B$4:$AO$4)-COLUMN(Curves!$B$4)+1&lt;=2-Projects!$C$8+1))),0)</f>
        <v>0</v>
      </c>
      <c r="E11" s="289" t="n">
        <f aca="false">IF(AND(Projects!$G$8="Yes",Projects!$F$8="Yes",3&gt;=Projects!$C$8,3&lt;Projects!$C$8+Projects!$D$8),Projects!$B$8*(1-SUMPRODUCT((Curves!$B$4:$AO$4)*(COLUMN(Curves!$B$4:$AO$4)-COLUMN(Curves!$B$4)+1&lt;=3-Projects!$C$8+1))),0)</f>
        <v>0</v>
      </c>
      <c r="F11" s="289" t="n">
        <f aca="false">IF(AND(Projects!$G$8="Yes",Projects!$F$8="Yes",4&gt;=Projects!$C$8,4&lt;Projects!$C$8+Projects!$D$8),Projects!$B$8*(1-SUMPRODUCT((Curves!$B$4:$AO$4)*(COLUMN(Curves!$B$4:$AO$4)-COLUMN(Curves!$B$4)+1&lt;=4-Projects!$C$8+1))),0)</f>
        <v>0</v>
      </c>
      <c r="G11" s="289" t="n">
        <f aca="false">IF(AND(Projects!$G$8="Yes",Projects!$F$8="Yes",5&gt;=Projects!$C$8,5&lt;Projects!$C$8+Projects!$D$8),Projects!$B$8*(1-SUMPRODUCT((Curves!$B$4:$AO$4)*(COLUMN(Curves!$B$4:$AO$4)-COLUMN(Curves!$B$4)+1&lt;=5-Projects!$C$8+1))),0)</f>
        <v>0</v>
      </c>
      <c r="H11" s="289" t="n">
        <f aca="false">IF(AND(Projects!$G$8="Yes",Projects!$F$8="Yes",6&gt;=Projects!$C$8,6&lt;Projects!$C$8+Projects!$D$8),Projects!$B$8*(1-SUMPRODUCT((Curves!$B$4:$AO$4)*(COLUMN(Curves!$B$4:$AO$4)-COLUMN(Curves!$B$4)+1&lt;=6-Projects!$C$8+1))),0)</f>
        <v>12649220.0904822</v>
      </c>
      <c r="I11" s="289" t="n">
        <f aca="false">IF(AND(Projects!$G$8="Yes",Projects!$F$8="Yes",7&gt;=Projects!$C$8,7&lt;Projects!$C$8+Projects!$D$8),Projects!$B$8*(1-SUMPRODUCT((Curves!$B$4:$AO$4)*(COLUMN(Curves!$B$4:$AO$4)-COLUMN(Curves!$B$4)+1&lt;=7-Projects!$C$8+1))),0)</f>
        <v>12223530.9933081</v>
      </c>
      <c r="J11" s="289" t="n">
        <f aca="false">IF(AND(Projects!$G$8="Yes",Projects!$F$8="Yes",8&gt;=Projects!$C$8,8&lt;Projects!$C$8+Projects!$D$8),Projects!$B$8*(1-SUMPRODUCT((Curves!$B$4:$AO$4)*(COLUMN(Curves!$B$4:$AO$4)-COLUMN(Curves!$B$4)+1&lt;=8-Projects!$C$8+1))),0)</f>
        <v>11710510.727302</v>
      </c>
      <c r="K11" s="289" t="n">
        <f aca="false">IF(AND(Projects!$G$8="Yes",Projects!$F$8="Yes",9&gt;=Projects!$C$8,9&lt;Projects!$C$8+Projects!$D$8),Projects!$B$8*(1-SUMPRODUCT((Curves!$B$4:$AO$4)*(COLUMN(Curves!$B$4:$AO$4)-COLUMN(Curves!$B$4)+1&lt;=9-Projects!$C$8+1))),0)</f>
        <v>11107443.5932694</v>
      </c>
      <c r="L11" s="289" t="n">
        <f aca="false">IF(AND(Projects!$G$8="Yes",Projects!$F$8="Yes",10&gt;=Projects!$C$8,10&lt;Projects!$C$8+Projects!$D$8),Projects!$B$8*(1-SUMPRODUCT((Curves!$B$4:$AO$4)*(COLUMN(Curves!$B$4:$AO$4)-COLUMN(Curves!$B$4)+1&lt;=10-Projects!$C$8+1))),0)</f>
        <v>10415940.8194405</v>
      </c>
      <c r="M11" s="289" t="n">
        <f aca="false">IF(AND(Projects!$G$8="Yes",Projects!$F$8="Yes",11&gt;=Projects!$C$8,11&lt;Projects!$C$8+Projects!$D$8),Projects!$B$8*(1-SUMPRODUCT((Curves!$B$4:$AO$4)*(COLUMN(Curves!$B$4:$AO$4)-COLUMN(Curves!$B$4)+1&lt;=11-Projects!$C$8+1))),0)</f>
        <v>9642525.2813924</v>
      </c>
      <c r="N11" s="289" t="n">
        <f aca="false">IF(AND(Projects!$G$8="Yes",Projects!$F$8="Yes",12&gt;=Projects!$C$8,12&lt;Projects!$C$8+Projects!$D$8),Projects!$B$8*(1-SUMPRODUCT((Curves!$B$4:$AO$4)*(COLUMN(Curves!$B$4:$AO$4)-COLUMN(Curves!$B$4)+1&lt;=12-Projects!$C$8+1))),0)</f>
        <v>8798748.44603355</v>
      </c>
      <c r="O11" s="289" t="n">
        <f aca="false">IF(AND(Projects!$G$8="Yes",Projects!$F$8="Yes",13&gt;=Projects!$C$8,13&lt;Projects!$C$8+Projects!$D$8),Projects!$B$8*(1-SUMPRODUCT((Curves!$B$4:$AO$4)*(COLUMN(Curves!$B$4:$AO$4)-COLUMN(Curves!$B$4)+1&lt;=13-Projects!$C$8+1))),0)</f>
        <v>7900826.54587435</v>
      </c>
      <c r="P11" s="289" t="n">
        <f aca="false">IF(AND(Projects!$G$8="Yes",Projects!$F$8="Yes",14&gt;=Projects!$C$8,14&lt;Projects!$C$8+Projects!$D$8),Projects!$B$8*(1-SUMPRODUCT((Curves!$B$4:$AO$4)*(COLUMN(Curves!$B$4:$AO$4)-COLUMN(Curves!$B$4)+1&lt;=14-Projects!$C$8+1))),0)</f>
        <v>6968757.00225575</v>
      </c>
      <c r="Q11" s="289" t="n">
        <f aca="false">IF(AND(Projects!$G$8="Yes",Projects!$F$8="Yes",15&gt;=Projects!$C$8,15&lt;Projects!$C$8+Projects!$D$8),Projects!$B$8*(1-SUMPRODUCT((Curves!$B$4:$AO$4)*(COLUMN(Curves!$B$4:$AO$4)-COLUMN(Curves!$B$4)+1&lt;=15-Projects!$C$8+1))),0)</f>
        <v>6025019.04774425</v>
      </c>
      <c r="R11" s="289" t="n">
        <f aca="false">IF(AND(Projects!$G$8="Yes",Projects!$F$8="Yes",16&gt;=Projects!$C$8,16&lt;Projects!$C$8+Projects!$D$8),Projects!$B$8*(1-SUMPRODUCT((Curves!$B$4:$AO$4)*(COLUMN(Curves!$B$4:$AO$4)-COLUMN(Curves!$B$4)+1&lt;=16-Projects!$C$8+1))),0)</f>
        <v>5092949.50412565</v>
      </c>
      <c r="S11" s="289" t="n">
        <f aca="false">IF(AND(Projects!$G$8="Yes",Projects!$F$8="Yes",17&gt;=Projects!$C$8,17&lt;Projects!$C$8+Projects!$D$8),Projects!$B$8*(1-SUMPRODUCT((Curves!$B$4:$AO$4)*(COLUMN(Curves!$B$4:$AO$4)-COLUMN(Curves!$B$4)+1&lt;=17-Projects!$C$8+1))),0)</f>
        <v>4195027.60396645</v>
      </c>
      <c r="T11" s="289" t="n">
        <f aca="false">IF(AND(Projects!$G$8="Yes",Projects!$F$8="Yes",18&gt;=Projects!$C$8,18&lt;Projects!$C$8+Projects!$D$8),Projects!$B$8*(1-SUMPRODUCT((Curves!$B$4:$AO$4)*(COLUMN(Curves!$B$4:$AO$4)-COLUMN(Curves!$B$4)+1&lt;=18-Projects!$C$8+1))),0)</f>
        <v>3351250.7686076</v>
      </c>
      <c r="U11" s="289" t="n">
        <f aca="false">IF(AND(Projects!$G$8="Yes",Projects!$F$8="Yes",19&gt;=Projects!$C$8,19&lt;Projects!$C$8+Projects!$D$8),Projects!$B$8*(1-SUMPRODUCT((Curves!$B$4:$AO$4)*(COLUMN(Curves!$B$4:$AO$4)-COLUMN(Curves!$B$4)+1&lt;=19-Projects!$C$8+1))),0)</f>
        <v>2577835.2305595</v>
      </c>
      <c r="V11" s="289" t="n">
        <f aca="false">IF(AND(Projects!$G$8="Yes",Projects!$F$8="Yes",20&gt;=Projects!$C$8,20&lt;Projects!$C$8+Projects!$D$8),Projects!$B$8*(1-SUMPRODUCT((Curves!$B$4:$AO$4)*(COLUMN(Curves!$B$4:$AO$4)-COLUMN(Curves!$B$4)+1&lt;=20-Projects!$C$8+1))),0)</f>
        <v>1886332.4567306</v>
      </c>
      <c r="W11" s="289" t="n">
        <f aca="false">IF(AND(Projects!$G$8="Yes",Projects!$F$8="Yes",21&gt;=Projects!$C$8,21&lt;Projects!$C$8+Projects!$D$8),Projects!$B$8*(1-SUMPRODUCT((Curves!$B$4:$AO$4)*(COLUMN(Curves!$B$4:$AO$4)-COLUMN(Curves!$B$4)+1&lt;=21-Projects!$C$8+1))),0)</f>
        <v>1283265.322698</v>
      </c>
      <c r="X11" s="289" t="n">
        <f aca="false">IF(AND(Projects!$G$8="Yes",Projects!$F$8="Yes",22&gt;=Projects!$C$8,22&lt;Projects!$C$8+Projects!$D$8),Projects!$B$8*(1-SUMPRODUCT((Curves!$B$4:$AO$4)*(COLUMN(Curves!$B$4:$AO$4)-COLUMN(Curves!$B$4)+1&lt;=22-Projects!$C$8+1))),0)</f>
        <v>770245.056691899</v>
      </c>
      <c r="Y11" s="289" t="n">
        <f aca="false">IF(AND(Projects!$G$8="Yes",Projects!$F$8="Yes",23&gt;=Projects!$C$8,23&lt;Projects!$C$8+Projects!$D$8),Projects!$B$8*(1-SUMPRODUCT((Curves!$B$4:$AO$4)*(COLUMN(Curves!$B$4:$AO$4)-COLUMN(Curves!$B$4)+1&lt;=23-Projects!$C$8+1))),0)</f>
        <v>344555.95951785</v>
      </c>
      <c r="Z11" s="289" t="n">
        <f aca="false">IF(AND(Projects!$G$8="Yes",Projects!$F$8="Yes",24&gt;=Projects!$C$8,24&lt;Projects!$C$8+Projects!$D$8),Projects!$B$8*(1-SUMPRODUCT((Curves!$B$4:$AO$4)*(COLUMN(Curves!$B$4:$AO$4)-COLUMN(Curves!$B$4)+1&lt;=24-Projects!$C$8+1))),0)</f>
        <v>0</v>
      </c>
      <c r="AA11" s="289" t="n">
        <f aca="false">IF(AND(Projects!$G$8="Yes",Projects!$F$8="Yes",25&gt;=Projects!$C$8,25&lt;Projects!$C$8+Projects!$D$8),Projects!$B$8*(1-SUMPRODUCT((Curves!$B$4:$AO$4)*(COLUMN(Curves!$B$4:$AO$4)-COLUMN(Curves!$B$4)+1&lt;=25-Projects!$C$8+1))),0)</f>
        <v>0</v>
      </c>
      <c r="AB11" s="289" t="n">
        <f aca="false">IF(AND(Projects!$G$8="Yes",Projects!$F$8="Yes",26&gt;=Projects!$C$8,26&lt;Projects!$C$8+Projects!$D$8),Projects!$B$8*(1-SUMPRODUCT((Curves!$B$4:$AO$4)*(COLUMN(Curves!$B$4:$AO$4)-COLUMN(Curves!$B$4)+1&lt;=26-Projects!$C$8+1))),0)</f>
        <v>0</v>
      </c>
      <c r="AC11" s="289" t="n">
        <f aca="false">IF(AND(Projects!$G$8="Yes",Projects!$F$8="Yes",27&gt;=Projects!$C$8,27&lt;Projects!$C$8+Projects!$D$8),Projects!$B$8*(1-SUMPRODUCT((Curves!$B$4:$AO$4)*(COLUMN(Curves!$B$4:$AO$4)-COLUMN(Curves!$B$4)+1&lt;=27-Projects!$C$8+1))),0)</f>
        <v>0</v>
      </c>
      <c r="AD11" s="289" t="n">
        <f aca="false">IF(AND(Projects!$G$8="Yes",Projects!$F$8="Yes",28&gt;=Projects!$C$8,28&lt;Projects!$C$8+Projects!$D$8),Projects!$B$8*(1-SUMPRODUCT((Curves!$B$4:$AO$4)*(COLUMN(Curves!$B$4:$AO$4)-COLUMN(Curves!$B$4)+1&lt;=28-Projects!$C$8+1))),0)</f>
        <v>0</v>
      </c>
      <c r="AE11" s="289" t="n">
        <f aca="false">IF(AND(Projects!$G$8="Yes",Projects!$F$8="Yes",29&gt;=Projects!$C$8,29&lt;Projects!$C$8+Projects!$D$8),Projects!$B$8*(1-SUMPRODUCT((Curves!$B$4:$AO$4)*(COLUMN(Curves!$B$4:$AO$4)-COLUMN(Curves!$B$4)+1&lt;=29-Projects!$C$8+1))),0)</f>
        <v>0</v>
      </c>
      <c r="AF11" s="289" t="n">
        <f aca="false">IF(AND(Projects!$G$8="Yes",Projects!$F$8="Yes",30&gt;=Projects!$C$8,30&lt;Projects!$C$8+Projects!$D$8),Projects!$B$8*(1-SUMPRODUCT((Curves!$B$4:$AO$4)*(COLUMN(Curves!$B$4:$AO$4)-COLUMN(Curves!$B$4)+1&lt;=30-Projects!$C$8+1))),0)</f>
        <v>0</v>
      </c>
      <c r="AG11" s="289" t="n">
        <f aca="false">IF(AND(Projects!$G$8="Yes",Projects!$F$8="Yes",31&gt;=Projects!$C$8,31&lt;Projects!$C$8+Projects!$D$8),Projects!$B$8*(1-SUMPRODUCT((Curves!$B$4:$AO$4)*(COLUMN(Curves!$B$4:$AO$4)-COLUMN(Curves!$B$4)+1&lt;=31-Projects!$C$8+1))),0)</f>
        <v>0</v>
      </c>
      <c r="AH11" s="289" t="n">
        <f aca="false">IF(AND(Projects!$G$8="Yes",Projects!$F$8="Yes",32&gt;=Projects!$C$8,32&lt;Projects!$C$8+Projects!$D$8),Projects!$B$8*(1-SUMPRODUCT((Curves!$B$4:$AO$4)*(COLUMN(Curves!$B$4:$AO$4)-COLUMN(Curves!$B$4)+1&lt;=32-Projects!$C$8+1))),0)</f>
        <v>0</v>
      </c>
      <c r="AI11" s="289" t="n">
        <f aca="false">IF(AND(Projects!$G$8="Yes",Projects!$F$8="Yes",33&gt;=Projects!$C$8,33&lt;Projects!$C$8+Projects!$D$8),Projects!$B$8*(1-SUMPRODUCT((Curves!$B$4:$AO$4)*(COLUMN(Curves!$B$4:$AO$4)-COLUMN(Curves!$B$4)+1&lt;=33-Projects!$C$8+1))),0)</f>
        <v>0</v>
      </c>
      <c r="AJ11" s="289" t="n">
        <f aca="false">IF(AND(Projects!$G$8="Yes",Projects!$F$8="Yes",34&gt;=Projects!$C$8,34&lt;Projects!$C$8+Projects!$D$8),Projects!$B$8*(1-SUMPRODUCT((Curves!$B$4:$AO$4)*(COLUMN(Curves!$B$4:$AO$4)-COLUMN(Curves!$B$4)+1&lt;=34-Projects!$C$8+1))),0)</f>
        <v>0</v>
      </c>
      <c r="AK11" s="289" t="n">
        <f aca="false">IF(AND(Projects!$G$8="Yes",Projects!$F$8="Yes",35&gt;=Projects!$C$8,35&lt;Projects!$C$8+Projects!$D$8),Projects!$B$8*(1-SUMPRODUCT((Curves!$B$4:$AO$4)*(COLUMN(Curves!$B$4:$AO$4)-COLUMN(Curves!$B$4)+1&lt;=35-Projects!$C$8+1))),0)</f>
        <v>0</v>
      </c>
      <c r="AL11" s="289" t="n">
        <f aca="false">IF(AND(Projects!$G$8="Yes",Projects!$F$8="Yes",36&gt;=Projects!$C$8,36&lt;Projects!$C$8+Projects!$D$8),Projects!$B$8*(1-SUMPRODUCT((Curves!$B$4:$AO$4)*(COLUMN(Curves!$B$4:$AO$4)-COLUMN(Curves!$B$4)+1&lt;=36-Projects!$C$8+1))),0)</f>
        <v>0</v>
      </c>
      <c r="AM11" s="289" t="n">
        <f aca="false">IF(AND(Projects!$G$8="Yes",Projects!$F$8="Yes",37&gt;=Projects!$C$8,37&lt;Projects!$C$8+Projects!$D$8),Projects!$B$8*(1-SUMPRODUCT((Curves!$B$4:$AO$4)*(COLUMN(Curves!$B$4:$AO$4)-COLUMN(Curves!$B$4)+1&lt;=37-Projects!$C$8+1))),0)</f>
        <v>0</v>
      </c>
      <c r="AN11" s="289" t="n">
        <f aca="false">IF(AND(Projects!$G$8="Yes",Projects!$F$8="Yes",38&gt;=Projects!$C$8,38&lt;Projects!$C$8+Projects!$D$8),Projects!$B$8*(1-SUMPRODUCT((Curves!$B$4:$AO$4)*(COLUMN(Curves!$B$4:$AO$4)-COLUMN(Curves!$B$4)+1&lt;=38-Projects!$C$8+1))),0)</f>
        <v>0</v>
      </c>
      <c r="AO11" s="289" t="n">
        <f aca="false">IF(AND(Projects!$G$8="Yes",Projects!$F$8="Yes",39&gt;=Projects!$C$8,39&lt;Projects!$C$8+Projects!$D$8),Projects!$B$8*(1-SUMPRODUCT((Curves!$B$4:$AO$4)*(COLUMN(Curves!$B$4:$AO$4)-COLUMN(Curves!$B$4)+1&lt;=39-Projects!$C$8+1))),0)</f>
        <v>0</v>
      </c>
      <c r="AP11" s="289" t="n">
        <f aca="false">IF(AND(Projects!$G$8="Yes",Projects!$F$8="Yes",40&gt;=Projects!$C$8,40&lt;Projects!$C$8+Projects!$D$8),Projects!$B$8*(1-SUMPRODUCT((Curves!$B$4:$AO$4)*(COLUMN(Curves!$B$4:$AO$4)-COLUMN(Curves!$B$4)+1&lt;=40-Projects!$C$8+1))),0)</f>
        <v>0</v>
      </c>
      <c r="AQ11" s="289" t="n">
        <f aca="false">IF(AND(Projects!$G$8="Yes",Projects!$F$8="Yes",41&gt;=Projects!$C$8,41&lt;Projects!$C$8+Projects!$D$8),Projects!$B$8*(1-SUMPRODUCT((Curves!$B$4:$AO$4)*(COLUMN(Curves!$B$4:$AO$4)-COLUMN(Curves!$B$4)+1&lt;=41-Projects!$C$8+1))),0)</f>
        <v>0</v>
      </c>
      <c r="AR11" s="289" t="n">
        <f aca="false">IF(AND(Projects!$G$8="Yes",Projects!$F$8="Yes",42&gt;=Projects!$C$8,42&lt;Projects!$C$8+Projects!$D$8),Projects!$B$8*(1-SUMPRODUCT((Curves!$B$4:$AO$4)*(COLUMN(Curves!$B$4:$AO$4)-COLUMN(Curves!$B$4)+1&lt;=42-Projects!$C$8+1))),0)</f>
        <v>0</v>
      </c>
      <c r="AS11" s="289" t="n">
        <f aca="false">IF(AND(Projects!$G$8="Yes",Projects!$F$8="Yes",43&gt;=Projects!$C$8,43&lt;Projects!$C$8+Projects!$D$8),Projects!$B$8*(1-SUMPRODUCT((Curves!$B$4:$AO$4)*(COLUMN(Curves!$B$4:$AO$4)-COLUMN(Curves!$B$4)+1&lt;=43-Projects!$C$8+1))),0)</f>
        <v>0</v>
      </c>
      <c r="AT11" s="289" t="n">
        <f aca="false">IF(AND(Projects!$G$8="Yes",Projects!$F$8="Yes",44&gt;=Projects!$C$8,44&lt;Projects!$C$8+Projects!$D$8),Projects!$B$8*(1-SUMPRODUCT((Curves!$B$4:$AO$4)*(COLUMN(Curves!$B$4:$AO$4)-COLUMN(Curves!$B$4)+1&lt;=44-Projects!$C$8+1))),0)</f>
        <v>0</v>
      </c>
      <c r="AU11" s="289" t="n">
        <f aca="false">IF(AND(Projects!$G$8="Yes",Projects!$F$8="Yes",45&gt;=Projects!$C$8,45&lt;Projects!$C$8+Projects!$D$8),Projects!$B$8*(1-SUMPRODUCT((Curves!$B$4:$AO$4)*(COLUMN(Curves!$B$4:$AO$4)-COLUMN(Curves!$B$4)+1&lt;=45-Projects!$C$8+1))),0)</f>
        <v>0</v>
      </c>
      <c r="AV11" s="289" t="n">
        <f aca="false">IF(AND(Projects!$G$8="Yes",Projects!$F$8="Yes",46&gt;=Projects!$C$8,46&lt;Projects!$C$8+Projects!$D$8),Projects!$B$8*(1-SUMPRODUCT((Curves!$B$4:$AO$4)*(COLUMN(Curves!$B$4:$AO$4)-COLUMN(Curves!$B$4)+1&lt;=46-Projects!$C$8+1))),0)</f>
        <v>0</v>
      </c>
      <c r="AW11" s="289" t="n">
        <f aca="false">IF(AND(Projects!$G$8="Yes",Projects!$F$8="Yes",47&gt;=Projects!$C$8,47&lt;Projects!$C$8+Projects!$D$8),Projects!$B$8*(1-SUMPRODUCT((Curves!$B$4:$AO$4)*(COLUMN(Curves!$B$4:$AO$4)-COLUMN(Curves!$B$4)+1&lt;=47-Projects!$C$8+1))),0)</f>
        <v>0</v>
      </c>
      <c r="AX11" s="289" t="n">
        <f aca="false">IF(AND(Projects!$G$8="Yes",Projects!$F$8="Yes",48&gt;=Projects!$C$8,48&lt;Projects!$C$8+Projects!$D$8),Projects!$B$8*(1-SUMPRODUCT((Curves!$B$4:$AO$4)*(COLUMN(Curves!$B$4:$AO$4)-COLUMN(Curves!$B$4)+1&lt;=48-Projects!$C$8+1))),0)</f>
        <v>0</v>
      </c>
      <c r="AY11" s="289" t="n">
        <f aca="false">IF(AND(Projects!$G$8="Yes",Projects!$F$8="Yes",49&gt;=Projects!$C$8,49&lt;Projects!$C$8+Projects!$D$8),Projects!$B$8*(1-SUMPRODUCT((Curves!$B$4:$AO$4)*(COLUMN(Curves!$B$4:$AO$4)-COLUMN(Curves!$B$4)+1&lt;=49-Projects!$C$8+1))),0)</f>
        <v>0</v>
      </c>
      <c r="AZ11" s="289" t="n">
        <f aca="false">IF(AND(Projects!$G$8="Yes",Projects!$F$8="Yes",50&gt;=Projects!$C$8,50&lt;Projects!$C$8+Projects!$D$8),Projects!$B$8*(1-SUMPRODUCT((Curves!$B$4:$AO$4)*(COLUMN(Curves!$B$4:$AO$4)-COLUMN(Curves!$B$4)+1&lt;=50-Projects!$C$8+1))),0)</f>
        <v>0</v>
      </c>
      <c r="BA11" s="289" t="n">
        <f aca="false">IF(AND(Projects!$G$8="Yes",Projects!$F$8="Yes",51&gt;=Projects!$C$8,51&lt;Projects!$C$8+Projects!$D$8),Projects!$B$8*(1-SUMPRODUCT((Curves!$B$4:$AO$4)*(COLUMN(Curves!$B$4:$AO$4)-COLUMN(Curves!$B$4)+1&lt;=51-Projects!$C$8+1))),0)</f>
        <v>0</v>
      </c>
      <c r="BB11" s="289" t="n">
        <f aca="false">IF(AND(Projects!$G$8="Yes",Projects!$F$8="Yes",52&gt;=Projects!$C$8,52&lt;Projects!$C$8+Projects!$D$8),Projects!$B$8*(1-SUMPRODUCT((Curves!$B$4:$AO$4)*(COLUMN(Curves!$B$4:$AO$4)-COLUMN(Curves!$B$4)+1&lt;=52-Projects!$C$8+1))),0)</f>
        <v>0</v>
      </c>
      <c r="BC11" s="289" t="n">
        <f aca="false">IF(AND(Projects!$G$8="Yes",Projects!$F$8="Yes",53&gt;=Projects!$C$8,53&lt;Projects!$C$8+Projects!$D$8),Projects!$B$8*(1-SUMPRODUCT((Curves!$B$4:$AO$4)*(COLUMN(Curves!$B$4:$AO$4)-COLUMN(Curves!$B$4)+1&lt;=53-Projects!$C$8+1))),0)</f>
        <v>0</v>
      </c>
      <c r="BD11" s="289" t="n">
        <f aca="false">IF(AND(Projects!$G$8="Yes",Projects!$F$8="Yes",54&gt;=Projects!$C$8,54&lt;Projects!$C$8+Projects!$D$8),Projects!$B$8*(1-SUMPRODUCT((Curves!$B$4:$AO$4)*(COLUMN(Curves!$B$4:$AO$4)-COLUMN(Curves!$B$4)+1&lt;=54-Projects!$C$8+1))),0)</f>
        <v>0</v>
      </c>
      <c r="BE11" s="289" t="n">
        <f aca="false">IF(AND(Projects!$G$8="Yes",Projects!$F$8="Yes",55&gt;=Projects!$C$8,55&lt;Projects!$C$8+Projects!$D$8),Projects!$B$8*(1-SUMPRODUCT((Curves!$B$4:$AO$4)*(COLUMN(Curves!$B$4:$AO$4)-COLUMN(Curves!$B$4)+1&lt;=55-Projects!$C$8+1))),0)</f>
        <v>0</v>
      </c>
      <c r="BF11" s="289" t="n">
        <f aca="false">IF(AND(Projects!$G$8="Yes",Projects!$F$8="Yes",56&gt;=Projects!$C$8,56&lt;Projects!$C$8+Projects!$D$8),Projects!$B$8*(1-SUMPRODUCT((Curves!$B$4:$AO$4)*(COLUMN(Curves!$B$4:$AO$4)-COLUMN(Curves!$B$4)+1&lt;=56-Projects!$C$8+1))),0)</f>
        <v>0</v>
      </c>
      <c r="BG11" s="289" t="n">
        <f aca="false">IF(AND(Projects!$G$8="Yes",Projects!$F$8="Yes",57&gt;=Projects!$C$8,57&lt;Projects!$C$8+Projects!$D$8),Projects!$B$8*(1-SUMPRODUCT((Curves!$B$4:$AO$4)*(COLUMN(Curves!$B$4:$AO$4)-COLUMN(Curves!$B$4)+1&lt;=57-Projects!$C$8+1))),0)</f>
        <v>0</v>
      </c>
      <c r="BH11" s="289" t="n">
        <f aca="false">IF(AND(Projects!$G$8="Yes",Projects!$F$8="Yes",58&gt;=Projects!$C$8,58&lt;Projects!$C$8+Projects!$D$8),Projects!$B$8*(1-SUMPRODUCT((Curves!$B$4:$AO$4)*(COLUMN(Curves!$B$4:$AO$4)-COLUMN(Curves!$B$4)+1&lt;=58-Projects!$C$8+1))),0)</f>
        <v>0</v>
      </c>
      <c r="BI11" s="289" t="n">
        <f aca="false">IF(AND(Projects!$G$8="Yes",Projects!$F$8="Yes",59&gt;=Projects!$C$8,59&lt;Projects!$C$8+Projects!$D$8),Projects!$B$8*(1-SUMPRODUCT((Curves!$B$4:$AO$4)*(COLUMN(Curves!$B$4:$AO$4)-COLUMN(Curves!$B$4)+1&lt;=59-Projects!$C$8+1))),0)</f>
        <v>0</v>
      </c>
      <c r="BJ11" s="289" t="n">
        <f aca="false">IF(AND(Projects!$G$8="Yes",Projects!$F$8="Yes",60&gt;=Projects!$C$8,60&lt;Projects!$C$8+Projects!$D$8),Projects!$B$8*(1-SUMPRODUCT((Curves!$B$4:$AO$4)*(COLUMN(Curves!$B$4:$AO$4)-COLUMN(Curves!$B$4)+1&lt;=60-Projects!$C$8+1))),0)</f>
        <v>0</v>
      </c>
      <c r="BK11" s="289" t="n">
        <f aca="false">IF(AND(Projects!$G$8="Yes",Projects!$F$8="Yes",61&gt;=Projects!$C$8,61&lt;Projects!$C$8+Projects!$D$8),Projects!$B$8*(1-SUMPRODUCT((Curves!$B$4:$AO$4)*(COLUMN(Curves!$B$4:$AO$4)-COLUMN(Curves!$B$4)+1&lt;=61-Projects!$C$8+1))),0)</f>
        <v>0</v>
      </c>
      <c r="BL11" s="289" t="n">
        <f aca="false">IF(AND(Projects!$G$8="Yes",Projects!$F$8="Yes",62&gt;=Projects!$C$8,62&lt;Projects!$C$8+Projects!$D$8),Projects!$B$8*(1-SUMPRODUCT((Curves!$B$4:$AO$4)*(COLUMN(Curves!$B$4:$AO$4)-COLUMN(Curves!$B$4)+1&lt;=62-Projects!$C$8+1))),0)</f>
        <v>0</v>
      </c>
      <c r="BM11" s="289" t="n">
        <f aca="false">IF(AND(Projects!$G$8="Yes",Projects!$F$8="Yes",63&gt;=Projects!$C$8,63&lt;Projects!$C$8+Projects!$D$8),Projects!$B$8*(1-SUMPRODUCT((Curves!$B$4:$AO$4)*(COLUMN(Curves!$B$4:$AO$4)-COLUMN(Curves!$B$4)+1&lt;=63-Projects!$C$8+1))),0)</f>
        <v>0</v>
      </c>
      <c r="BN11" s="289" t="n">
        <f aca="false">IF(AND(Projects!$G$8="Yes",Projects!$F$8="Yes",64&gt;=Projects!$C$8,64&lt;Projects!$C$8+Projects!$D$8),Projects!$B$8*(1-SUMPRODUCT((Curves!$B$4:$AO$4)*(COLUMN(Curves!$B$4:$AO$4)-COLUMN(Curves!$B$4)+1&lt;=64-Projects!$C$8+1))),0)</f>
        <v>0</v>
      </c>
      <c r="BO11" s="289" t="n">
        <f aca="false">IF(AND(Projects!$G$8="Yes",Projects!$F$8="Yes",65&gt;=Projects!$C$8,65&lt;Projects!$C$8+Projects!$D$8),Projects!$B$8*(1-SUMPRODUCT((Curves!$B$4:$AO$4)*(COLUMN(Curves!$B$4:$AO$4)-COLUMN(Curves!$B$4)+1&lt;=65-Projects!$C$8+1))),0)</f>
        <v>0</v>
      </c>
      <c r="BP11" s="289" t="n">
        <f aca="false">IF(AND(Projects!$G$8="Yes",Projects!$F$8="Yes",66&gt;=Projects!$C$8,66&lt;Projects!$C$8+Projects!$D$8),Projects!$B$8*(1-SUMPRODUCT((Curves!$B$4:$AO$4)*(COLUMN(Curves!$B$4:$AO$4)-COLUMN(Curves!$B$4)+1&lt;=66-Projects!$C$8+1))),0)</f>
        <v>0</v>
      </c>
      <c r="BQ11" s="289" t="n">
        <f aca="false">IF(AND(Projects!$G$8="Yes",Projects!$F$8="Yes",67&gt;=Projects!$C$8,67&lt;Projects!$C$8+Projects!$D$8),Projects!$B$8*(1-SUMPRODUCT((Curves!$B$4:$AO$4)*(COLUMN(Curves!$B$4:$AO$4)-COLUMN(Curves!$B$4)+1&lt;=67-Projects!$C$8+1))),0)</f>
        <v>0</v>
      </c>
      <c r="BR11" s="289" t="n">
        <f aca="false">IF(AND(Projects!$G$8="Yes",Projects!$F$8="Yes",68&gt;=Projects!$C$8,68&lt;Projects!$C$8+Projects!$D$8),Projects!$B$8*(1-SUMPRODUCT((Curves!$B$4:$AO$4)*(COLUMN(Curves!$B$4:$AO$4)-COLUMN(Curves!$B$4)+1&lt;=68-Projects!$C$8+1))),0)</f>
        <v>0</v>
      </c>
      <c r="BS11" s="289" t="n">
        <f aca="false">IF(AND(Projects!$G$8="Yes",Projects!$F$8="Yes",69&gt;=Projects!$C$8,69&lt;Projects!$C$8+Projects!$D$8),Projects!$B$8*(1-SUMPRODUCT((Curves!$B$4:$AO$4)*(COLUMN(Curves!$B$4:$AO$4)-COLUMN(Curves!$B$4)+1&lt;=69-Projects!$C$8+1))),0)</f>
        <v>0</v>
      </c>
      <c r="BT11" s="289" t="n">
        <f aca="false">IF(AND(Projects!$G$8="Yes",Projects!$F$8="Yes",70&gt;=Projects!$C$8,70&lt;Projects!$C$8+Projects!$D$8),Projects!$B$8*(1-SUMPRODUCT((Curves!$B$4:$AO$4)*(COLUMN(Curves!$B$4:$AO$4)-COLUMN(Curves!$B$4)+1&lt;=70-Projects!$C$8+1))),0)</f>
        <v>0</v>
      </c>
      <c r="BU11" s="289" t="n">
        <f aca="false">IF(AND(Projects!$G$8="Yes",Projects!$F$8="Yes",71&gt;=Projects!$C$8,71&lt;Projects!$C$8+Projects!$D$8),Projects!$B$8*(1-SUMPRODUCT((Curves!$B$4:$AO$4)*(COLUMN(Curves!$B$4:$AO$4)-COLUMN(Curves!$B$4)+1&lt;=71-Projects!$C$8+1))),0)</f>
        <v>0</v>
      </c>
      <c r="BV11" s="289" t="n">
        <f aca="false">IF(AND(Projects!$G$8="Yes",Projects!$F$8="Yes",72&gt;=Projects!$C$8,72&lt;Projects!$C$8+Projects!$D$8),Projects!$B$8*(1-SUMPRODUCT((Curves!$B$4:$AO$4)*(COLUMN(Curves!$B$4:$AO$4)-COLUMN(Curves!$B$4)+1&lt;=72-Projects!$C$8+1))),0)</f>
        <v>0</v>
      </c>
      <c r="BW11" s="289" t="n">
        <f aca="false">IF(AND(Projects!$G$8="Yes",Projects!$F$8="Yes",73&gt;=Projects!$C$8,73&lt;Projects!$C$8+Projects!$D$8),Projects!$B$8*(1-SUMPRODUCT((Curves!$B$4:$AO$4)*(COLUMN(Curves!$B$4:$AO$4)-COLUMN(Curves!$B$4)+1&lt;=73-Projects!$C$8+1))),0)</f>
        <v>0</v>
      </c>
      <c r="BX11" s="289" t="n">
        <f aca="false">IF(AND(Projects!$G$8="Yes",Projects!$F$8="Yes",74&gt;=Projects!$C$8,74&lt;Projects!$C$8+Projects!$D$8),Projects!$B$8*(1-SUMPRODUCT((Curves!$B$4:$AO$4)*(COLUMN(Curves!$B$4:$AO$4)-COLUMN(Curves!$B$4)+1&lt;=74-Projects!$C$8+1))),0)</f>
        <v>0</v>
      </c>
      <c r="BY11" s="289" t="n">
        <f aca="false">IF(AND(Projects!$G$8="Yes",Projects!$F$8="Yes",75&gt;=Projects!$C$8,75&lt;Projects!$C$8+Projects!$D$8),Projects!$B$8*(1-SUMPRODUCT((Curves!$B$4:$AO$4)*(COLUMN(Curves!$B$4:$AO$4)-COLUMN(Curves!$B$4)+1&lt;=75-Projects!$C$8+1))),0)</f>
        <v>0</v>
      </c>
      <c r="BZ11" s="289" t="n">
        <f aca="false">IF(AND(Projects!$G$8="Yes",Projects!$F$8="Yes",76&gt;=Projects!$C$8,76&lt;Projects!$C$8+Projects!$D$8),Projects!$B$8*(1-SUMPRODUCT((Curves!$B$4:$AO$4)*(COLUMN(Curves!$B$4:$AO$4)-COLUMN(Curves!$B$4)+1&lt;=76-Projects!$C$8+1))),0)</f>
        <v>0</v>
      </c>
      <c r="CA11" s="289" t="n">
        <f aca="false">IF(AND(Projects!$G$8="Yes",Projects!$F$8="Yes",77&gt;=Projects!$C$8,77&lt;Projects!$C$8+Projects!$D$8),Projects!$B$8*(1-SUMPRODUCT((Curves!$B$4:$AO$4)*(COLUMN(Curves!$B$4:$AO$4)-COLUMN(Curves!$B$4)+1&lt;=77-Projects!$C$8+1))),0)</f>
        <v>0</v>
      </c>
      <c r="CB11" s="289" t="n">
        <f aca="false">IF(AND(Projects!$G$8="Yes",Projects!$F$8="Yes",78&gt;=Projects!$C$8,78&lt;Projects!$C$8+Projects!$D$8),Projects!$B$8*(1-SUMPRODUCT((Curves!$B$4:$AO$4)*(COLUMN(Curves!$B$4:$AO$4)-COLUMN(Curves!$B$4)+1&lt;=78-Projects!$C$8+1))),0)</f>
        <v>0</v>
      </c>
      <c r="CC11" s="289" t="n">
        <f aca="false">IF(AND(Projects!$G$8="Yes",Projects!$F$8="Yes",79&gt;=Projects!$C$8,79&lt;Projects!$C$8+Projects!$D$8),Projects!$B$8*(1-SUMPRODUCT((Curves!$B$4:$AO$4)*(COLUMN(Curves!$B$4:$AO$4)-COLUMN(Curves!$B$4)+1&lt;=79-Projects!$C$8+1))),0)</f>
        <v>0</v>
      </c>
      <c r="CD11" s="289" t="n">
        <f aca="false">IF(AND(Projects!$G$8="Yes",Projects!$F$8="Yes",80&gt;=Projects!$C$8,80&lt;Projects!$C$8+Projects!$D$8),Projects!$B$8*(1-SUMPRODUCT((Curves!$B$4:$AO$4)*(COLUMN(Curves!$B$4:$AO$4)-COLUMN(Curves!$B$4)+1&lt;=80-Projects!$C$8+1))),0)</f>
        <v>0</v>
      </c>
      <c r="CE11" s="289" t="n">
        <f aca="false">IF(AND(Projects!$G$8="Yes",Projects!$F$8="Yes",81&gt;=Projects!$C$8,81&lt;Projects!$C$8+Projects!$D$8),Projects!$B$8*(1-SUMPRODUCT((Curves!$B$4:$AO$4)*(COLUMN(Curves!$B$4:$AO$4)-COLUMN(Curves!$B$4)+1&lt;=81-Projects!$C$8+1))),0)</f>
        <v>0</v>
      </c>
      <c r="CF11" s="289" t="n">
        <f aca="false">IF(AND(Projects!$G$8="Yes",Projects!$F$8="Yes",82&gt;=Projects!$C$8,82&lt;Projects!$C$8+Projects!$D$8),Projects!$B$8*(1-SUMPRODUCT((Curves!$B$4:$AO$4)*(COLUMN(Curves!$B$4:$AO$4)-COLUMN(Curves!$B$4)+1&lt;=82-Projects!$C$8+1))),0)</f>
        <v>0</v>
      </c>
      <c r="CG11" s="289" t="n">
        <f aca="false">IF(AND(Projects!$G$8="Yes",Projects!$F$8="Yes",83&gt;=Projects!$C$8,83&lt;Projects!$C$8+Projects!$D$8),Projects!$B$8*(1-SUMPRODUCT((Curves!$B$4:$AO$4)*(COLUMN(Curves!$B$4:$AO$4)-COLUMN(Curves!$B$4)+1&lt;=83-Projects!$C$8+1))),0)</f>
        <v>0</v>
      </c>
      <c r="CH11" s="289" t="n">
        <f aca="false">IF(AND(Projects!$G$8="Yes",Projects!$F$8="Yes",84&gt;=Projects!$C$8,84&lt;Projects!$C$8+Projects!$D$8),Projects!$B$8*(1-SUMPRODUCT((Curves!$B$4:$AO$4)*(COLUMN(Curves!$B$4:$AO$4)-COLUMN(Curves!$B$4)+1&lt;=84-Projects!$C$8+1))),0)</f>
        <v>0</v>
      </c>
      <c r="CI11" s="289" t="n">
        <f aca="false">IF(AND(Projects!$G$8="Yes",Projects!$F$8="Yes",85&gt;=Projects!$C$8,85&lt;Projects!$C$8+Projects!$D$8),Projects!$B$8*(1-SUMPRODUCT((Curves!$B$4:$AO$4)*(COLUMN(Curves!$B$4:$AO$4)-COLUMN(Curves!$B$4)+1&lt;=85-Projects!$C$8+1))),0)</f>
        <v>0</v>
      </c>
      <c r="CJ11" s="289" t="n">
        <f aca="false">IF(AND(Projects!$G$8="Yes",Projects!$F$8="Yes",86&gt;=Projects!$C$8,86&lt;Projects!$C$8+Projects!$D$8),Projects!$B$8*(1-SUMPRODUCT((Curves!$B$4:$AO$4)*(COLUMN(Curves!$B$4:$AO$4)-COLUMN(Curves!$B$4)+1&lt;=86-Projects!$C$8+1))),0)</f>
        <v>0</v>
      </c>
      <c r="CK11" s="289" t="n">
        <f aca="false">IF(AND(Projects!$G$8="Yes",Projects!$F$8="Yes",87&gt;=Projects!$C$8,87&lt;Projects!$C$8+Projects!$D$8),Projects!$B$8*(1-SUMPRODUCT((Curves!$B$4:$AO$4)*(COLUMN(Curves!$B$4:$AO$4)-COLUMN(Curves!$B$4)+1&lt;=87-Projects!$C$8+1))),0)</f>
        <v>0</v>
      </c>
      <c r="CL11" s="289" t="n">
        <f aca="false">IF(AND(Projects!$G$8="Yes",Projects!$F$8="Yes",88&gt;=Projects!$C$8,88&lt;Projects!$C$8+Projects!$D$8),Projects!$B$8*(1-SUMPRODUCT((Curves!$B$4:$AO$4)*(COLUMN(Curves!$B$4:$AO$4)-COLUMN(Curves!$B$4)+1&lt;=88-Projects!$C$8+1))),0)</f>
        <v>0</v>
      </c>
      <c r="CM11" s="289" t="n">
        <f aca="false">IF(AND(Projects!$G$8="Yes",Projects!$F$8="Yes",89&gt;=Projects!$C$8,89&lt;Projects!$C$8+Projects!$D$8),Projects!$B$8*(1-SUMPRODUCT((Curves!$B$4:$AO$4)*(COLUMN(Curves!$B$4:$AO$4)-COLUMN(Curves!$B$4)+1&lt;=89-Projects!$C$8+1))),0)</f>
        <v>0</v>
      </c>
      <c r="CN11" s="289" t="n">
        <f aca="false">IF(AND(Projects!$G$8="Yes",Projects!$F$8="Yes",90&gt;=Projects!$C$8,90&lt;Projects!$C$8+Projects!$D$8),Projects!$B$8*(1-SUMPRODUCT((Curves!$B$4:$AO$4)*(COLUMN(Curves!$B$4:$AO$4)-COLUMN(Curves!$B$4)+1&lt;=90-Projects!$C$8+1))),0)</f>
        <v>0</v>
      </c>
      <c r="CO11" s="289" t="n">
        <f aca="false">IF(AND(Projects!$G$8="Yes",Projects!$F$8="Yes",91&gt;=Projects!$C$8,91&lt;Projects!$C$8+Projects!$D$8),Projects!$B$8*(1-SUMPRODUCT((Curves!$B$4:$AO$4)*(COLUMN(Curves!$B$4:$AO$4)-COLUMN(Curves!$B$4)+1&lt;=91-Projects!$C$8+1))),0)</f>
        <v>0</v>
      </c>
      <c r="CP11" s="289" t="n">
        <f aca="false">IF(AND(Projects!$G$8="Yes",Projects!$F$8="Yes",92&gt;=Projects!$C$8,92&lt;Projects!$C$8+Projects!$D$8),Projects!$B$8*(1-SUMPRODUCT((Curves!$B$4:$AO$4)*(COLUMN(Curves!$B$4:$AO$4)-COLUMN(Curves!$B$4)+1&lt;=92-Projects!$C$8+1))),0)</f>
        <v>0</v>
      </c>
      <c r="CQ11" s="289"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9" t="n">
        <f aca="false">IF(AND(Projects!$G$9="Yes",Projects!$F$9="Yes",1&gt;=Projects!$C$9,1&lt;Projects!$C$9+Projects!$D$9),Projects!$B$9*(1-SUMPRODUCT((Curves!$B$2:$AO$2)*(COLUMN(Curves!$B$2:$AO$2)-COLUMN(Curves!$B$2)+1&lt;=1-Projects!$C$9+1))),0)</f>
        <v>0</v>
      </c>
      <c r="D12" s="289" t="n">
        <f aca="false">IF(AND(Projects!$G$9="Yes",Projects!$F$9="Yes",2&gt;=Projects!$C$9,2&lt;Projects!$C$9+Projects!$D$9),Projects!$B$9*(1-SUMPRODUCT((Curves!$B$2:$AO$2)*(COLUMN(Curves!$B$2:$AO$2)-COLUMN(Curves!$B$2)+1&lt;=2-Projects!$C$9+1))),0)</f>
        <v>0</v>
      </c>
      <c r="E12" s="289" t="n">
        <f aca="false">IF(AND(Projects!$G$9="Yes",Projects!$F$9="Yes",3&gt;=Projects!$C$9,3&lt;Projects!$C$9+Projects!$D$9),Projects!$B$9*(1-SUMPRODUCT((Curves!$B$2:$AO$2)*(COLUMN(Curves!$B$2:$AO$2)-COLUMN(Curves!$B$2)+1&lt;=3-Projects!$C$9+1))),0)</f>
        <v>0</v>
      </c>
      <c r="F12" s="289" t="n">
        <f aca="false">IF(AND(Projects!$G$9="Yes",Projects!$F$9="Yes",4&gt;=Projects!$C$9,4&lt;Projects!$C$9+Projects!$D$9),Projects!$B$9*(1-SUMPRODUCT((Curves!$B$2:$AO$2)*(COLUMN(Curves!$B$2:$AO$2)-COLUMN(Curves!$B$2)+1&lt;=4-Projects!$C$9+1))),0)</f>
        <v>0</v>
      </c>
      <c r="G12" s="289" t="n">
        <f aca="false">IF(AND(Projects!$G$9="Yes",Projects!$F$9="Yes",5&gt;=Projects!$C$9,5&lt;Projects!$C$9+Projects!$D$9),Projects!$B$9*(1-SUMPRODUCT((Curves!$B$2:$AO$2)*(COLUMN(Curves!$B$2:$AO$2)-COLUMN(Curves!$B$2)+1&lt;=5-Projects!$C$9+1))),0)</f>
        <v>14106170.5891092</v>
      </c>
      <c r="H12" s="289" t="n">
        <f aca="false">IF(AND(Projects!$G$9="Yes",Projects!$F$9="Yes",6&gt;=Projects!$C$9,6&lt;Projects!$C$9+Projects!$D$9),Projects!$B$9*(1-SUMPRODUCT((Curves!$B$2:$AO$2)*(COLUMN(Curves!$B$2:$AO$2)-COLUMN(Curves!$B$2)+1&lt;=6-Projects!$C$9+1))),0)</f>
        <v>13840677.8231148</v>
      </c>
      <c r="I12" s="289" t="n">
        <f aca="false">IF(AND(Projects!$G$9="Yes",Projects!$F$9="Yes",7&gt;=Projects!$C$9,7&lt;Projects!$C$9+Projects!$D$9),Projects!$B$9*(1-SUMPRODUCT((Curves!$B$2:$AO$2)*(COLUMN(Curves!$B$2:$AO$2)-COLUMN(Curves!$B$2)+1&lt;=7-Projects!$C$9+1))),0)</f>
        <v>13538353.2763752</v>
      </c>
      <c r="J12" s="289" t="n">
        <f aca="false">IF(AND(Projects!$G$9="Yes",Projects!$F$9="Yes",8&gt;=Projects!$C$9,8&lt;Projects!$C$9+Projects!$D$9),Projects!$B$9*(1-SUMPRODUCT((Curves!$B$2:$AO$2)*(COLUMN(Curves!$B$2:$AO$2)-COLUMN(Curves!$B$2)+1&lt;=8-Projects!$C$9+1))),0)</f>
        <v>13197519.5186268</v>
      </c>
      <c r="K12" s="289" t="n">
        <f aca="false">IF(AND(Projects!$G$9="Yes",Projects!$F$9="Yes",9&gt;=Projects!$C$9,9&lt;Projects!$C$9+Projects!$D$9),Projects!$B$9*(1-SUMPRODUCT((Curves!$B$2:$AO$2)*(COLUMN(Curves!$B$2:$AO$2)-COLUMN(Curves!$B$2)+1&lt;=9-Projects!$C$9+1))),0)</f>
        <v>12817086.9370488</v>
      </c>
      <c r="L12" s="289" t="n">
        <f aca="false">IF(AND(Projects!$G$9="Yes",Projects!$F$9="Yes",10&gt;=Projects!$C$9,10&lt;Projects!$C$9+Projects!$D$9),Projects!$B$9*(1-SUMPRODUCT((Curves!$B$2:$AO$2)*(COLUMN(Curves!$B$2:$AO$2)-COLUMN(Curves!$B$2)+1&lt;=10-Projects!$C$9+1))),0)</f>
        <v>12396682.7693604</v>
      </c>
      <c r="M12" s="289" t="n">
        <f aca="false">IF(AND(Projects!$G$9="Yes",Projects!$F$9="Yes",11&gt;=Projects!$C$9,11&lt;Projects!$C$9+Projects!$D$9),Projects!$B$9*(1-SUMPRODUCT((Curves!$B$2:$AO$2)*(COLUMN(Curves!$B$2:$AO$2)-COLUMN(Curves!$B$2)+1&lt;=11-Projects!$C$9+1))),0)</f>
        <v>11936722.7888748</v>
      </c>
      <c r="N12" s="289" t="n">
        <f aca="false">IF(AND(Projects!$G$9="Yes",Projects!$F$9="Yes",12&gt;=Projects!$C$9,12&lt;Projects!$C$9+Projects!$D$9),Projects!$B$9*(1-SUMPRODUCT((Curves!$B$2:$AO$2)*(COLUMN(Curves!$B$2:$AO$2)-COLUMN(Curves!$B$2)+1&lt;=12-Projects!$C$9+1))),0)</f>
        <v>11438482.9895532</v>
      </c>
      <c r="O12" s="289" t="n">
        <f aca="false">IF(AND(Projects!$G$9="Yes",Projects!$F$9="Yes",13&gt;=Projects!$C$9,13&lt;Projects!$C$9+Projects!$D$9),Projects!$B$9*(1-SUMPRODUCT((Curves!$B$2:$AO$2)*(COLUMN(Curves!$B$2:$AO$2)-COLUMN(Curves!$B$2)+1&lt;=13-Projects!$C$9+1))),0)</f>
        <v>10904156.934048</v>
      </c>
      <c r="P12" s="289" t="n">
        <f aca="false">IF(AND(Projects!$G$9="Yes",Projects!$F$9="Yes",14&gt;=Projects!$C$9,14&lt;Projects!$C$9+Projects!$D$9),Projects!$B$9*(1-SUMPRODUCT((Curves!$B$2:$AO$2)*(COLUMN(Curves!$B$2:$AO$2)-COLUMN(Curves!$B$2)+1&lt;=14-Projects!$C$9+1))),0)</f>
        <v>10336812.7426704</v>
      </c>
      <c r="Q12" s="289" t="n">
        <f aca="false">IF(AND(Projects!$G$9="Yes",Projects!$F$9="Yes",15&gt;=Projects!$C$9,15&lt;Projects!$C$9+Projects!$D$9),Projects!$B$9*(1-SUMPRODUCT((Curves!$B$2:$AO$2)*(COLUMN(Curves!$B$2:$AO$2)-COLUMN(Curves!$B$2)+1&lt;=15-Projects!$C$9+1))),0)</f>
        <v>9740407.4304012</v>
      </c>
      <c r="R12" s="289" t="n">
        <f aca="false">IF(AND(Projects!$G$9="Yes",Projects!$F$9="Yes",16&gt;=Projects!$C$9,16&lt;Projects!$C$9+Projects!$D$9),Projects!$B$9*(1-SUMPRODUCT((Curves!$B$2:$AO$2)*(COLUMN(Curves!$B$2:$AO$2)-COLUMN(Curves!$B$2)+1&lt;=16-Projects!$C$9+1))),0)</f>
        <v>9119686.5478152</v>
      </c>
      <c r="S12" s="289" t="n">
        <f aca="false">IF(AND(Projects!$G$9="Yes",Projects!$F$9="Yes",17&gt;=Projects!$C$9,17&lt;Projects!$C$9+Projects!$D$9),Projects!$B$9*(1-SUMPRODUCT((Curves!$B$2:$AO$2)*(COLUMN(Curves!$B$2:$AO$2)-COLUMN(Curves!$B$2)+1&lt;=17-Projects!$C$9+1))),0)</f>
        <v>8480069.4849948</v>
      </c>
      <c r="T12" s="289" t="n">
        <f aca="false">IF(AND(Projects!$G$9="Yes",Projects!$F$9="Yes",18&gt;=Projects!$C$9,18&lt;Projects!$C$9+Projects!$D$9),Projects!$B$9*(1-SUMPRODUCT((Curves!$B$2:$AO$2)*(COLUMN(Curves!$B$2:$AO$2)-COLUMN(Curves!$B$2)+1&lt;=18-Projects!$C$9+1))),0)</f>
        <v>7827549.1124544</v>
      </c>
      <c r="U12" s="289" t="n">
        <f aca="false">IF(AND(Projects!$G$9="Yes",Projects!$F$9="Yes",19&gt;=Projects!$C$9,19&lt;Projects!$C$9+Projects!$D$9),Projects!$B$9*(1-SUMPRODUCT((Curves!$B$2:$AO$2)*(COLUMN(Curves!$B$2:$AO$2)-COLUMN(Curves!$B$2)+1&lt;=19-Projects!$C$9+1))),0)</f>
        <v>7168476.7259784</v>
      </c>
      <c r="V12" s="289" t="n">
        <f aca="false">IF(AND(Projects!$G$9="Yes",Projects!$F$9="Yes",20&gt;=Projects!$C$9,20&lt;Projects!$C$9+Projects!$D$9),Projects!$B$9*(1-SUMPRODUCT((Curves!$B$2:$AO$2)*(COLUMN(Curves!$B$2:$AO$2)-COLUMN(Curves!$B$2)+1&lt;=20-Projects!$C$9+1))),0)</f>
        <v>6509404.3395024</v>
      </c>
      <c r="W12" s="289" t="n">
        <f aca="false">IF(AND(Projects!$G$9="Yes",Projects!$F$9="Yes",21&gt;=Projects!$C$9,21&lt;Projects!$C$9+Projects!$D$9),Projects!$B$9*(1-SUMPRODUCT((Curves!$B$2:$AO$2)*(COLUMN(Curves!$B$2:$AO$2)-COLUMN(Curves!$B$2)+1&lt;=21-Projects!$C$9+1))),0)</f>
        <v>5856883.966962</v>
      </c>
      <c r="X12" s="289" t="n">
        <f aca="false">IF(AND(Projects!$G$9="Yes",Projects!$F$9="Yes",22&gt;=Projects!$C$9,22&lt;Projects!$C$9+Projects!$D$9),Projects!$B$9*(1-SUMPRODUCT((Curves!$B$2:$AO$2)*(COLUMN(Curves!$B$2:$AO$2)-COLUMN(Curves!$B$2)+1&lt;=22-Projects!$C$9+1))),0)</f>
        <v>5217266.9041416</v>
      </c>
      <c r="Y12" s="289" t="n">
        <f aca="false">IF(AND(Projects!$G$9="Yes",Projects!$F$9="Yes",23&gt;=Projects!$C$9,23&lt;Projects!$C$9+Projects!$D$9),Projects!$B$9*(1-SUMPRODUCT((Curves!$B$2:$AO$2)*(COLUMN(Curves!$B$2:$AO$2)-COLUMN(Curves!$B$2)+1&lt;=23-Projects!$C$9+1))),0)</f>
        <v>4596546.0215556</v>
      </c>
      <c r="Z12" s="289" t="n">
        <f aca="false">IF(AND(Projects!$G$9="Yes",Projects!$F$9="Yes",24&gt;=Projects!$C$9,24&lt;Projects!$C$9+Projects!$D$9),Projects!$B$9*(1-SUMPRODUCT((Curves!$B$2:$AO$2)*(COLUMN(Curves!$B$2:$AO$2)-COLUMN(Curves!$B$2)+1&lt;=24-Projects!$C$9+1))),0)</f>
        <v>0</v>
      </c>
      <c r="AA12" s="289" t="n">
        <f aca="false">IF(AND(Projects!$G$9="Yes",Projects!$F$9="Yes",25&gt;=Projects!$C$9,25&lt;Projects!$C$9+Projects!$D$9),Projects!$B$9*(1-SUMPRODUCT((Curves!$B$2:$AO$2)*(COLUMN(Curves!$B$2:$AO$2)-COLUMN(Curves!$B$2)+1&lt;=25-Projects!$C$9+1))),0)</f>
        <v>0</v>
      </c>
      <c r="AB12" s="289" t="n">
        <f aca="false">IF(AND(Projects!$G$9="Yes",Projects!$F$9="Yes",26&gt;=Projects!$C$9,26&lt;Projects!$C$9+Projects!$D$9),Projects!$B$9*(1-SUMPRODUCT((Curves!$B$2:$AO$2)*(COLUMN(Curves!$B$2:$AO$2)-COLUMN(Curves!$B$2)+1&lt;=26-Projects!$C$9+1))),0)</f>
        <v>0</v>
      </c>
      <c r="AC12" s="289" t="n">
        <f aca="false">IF(AND(Projects!$G$9="Yes",Projects!$F$9="Yes",27&gt;=Projects!$C$9,27&lt;Projects!$C$9+Projects!$D$9),Projects!$B$9*(1-SUMPRODUCT((Curves!$B$2:$AO$2)*(COLUMN(Curves!$B$2:$AO$2)-COLUMN(Curves!$B$2)+1&lt;=27-Projects!$C$9+1))),0)</f>
        <v>0</v>
      </c>
      <c r="AD12" s="289" t="n">
        <f aca="false">IF(AND(Projects!$G$9="Yes",Projects!$F$9="Yes",28&gt;=Projects!$C$9,28&lt;Projects!$C$9+Projects!$D$9),Projects!$B$9*(1-SUMPRODUCT((Curves!$B$2:$AO$2)*(COLUMN(Curves!$B$2:$AO$2)-COLUMN(Curves!$B$2)+1&lt;=28-Projects!$C$9+1))),0)</f>
        <v>0</v>
      </c>
      <c r="AE12" s="289" t="n">
        <f aca="false">IF(AND(Projects!$G$9="Yes",Projects!$F$9="Yes",29&gt;=Projects!$C$9,29&lt;Projects!$C$9+Projects!$D$9),Projects!$B$9*(1-SUMPRODUCT((Curves!$B$2:$AO$2)*(COLUMN(Curves!$B$2:$AO$2)-COLUMN(Curves!$B$2)+1&lt;=29-Projects!$C$9+1))),0)</f>
        <v>0</v>
      </c>
      <c r="AF12" s="289" t="n">
        <f aca="false">IF(AND(Projects!$G$9="Yes",Projects!$F$9="Yes",30&gt;=Projects!$C$9,30&lt;Projects!$C$9+Projects!$D$9),Projects!$B$9*(1-SUMPRODUCT((Curves!$B$2:$AO$2)*(COLUMN(Curves!$B$2:$AO$2)-COLUMN(Curves!$B$2)+1&lt;=30-Projects!$C$9+1))),0)</f>
        <v>0</v>
      </c>
      <c r="AG12" s="289" t="n">
        <f aca="false">IF(AND(Projects!$G$9="Yes",Projects!$F$9="Yes",31&gt;=Projects!$C$9,31&lt;Projects!$C$9+Projects!$D$9),Projects!$B$9*(1-SUMPRODUCT((Curves!$B$2:$AO$2)*(COLUMN(Curves!$B$2:$AO$2)-COLUMN(Curves!$B$2)+1&lt;=31-Projects!$C$9+1))),0)</f>
        <v>0</v>
      </c>
      <c r="AH12" s="289" t="n">
        <f aca="false">IF(AND(Projects!$G$9="Yes",Projects!$F$9="Yes",32&gt;=Projects!$C$9,32&lt;Projects!$C$9+Projects!$D$9),Projects!$B$9*(1-SUMPRODUCT((Curves!$B$2:$AO$2)*(COLUMN(Curves!$B$2:$AO$2)-COLUMN(Curves!$B$2)+1&lt;=32-Projects!$C$9+1))),0)</f>
        <v>0</v>
      </c>
      <c r="AI12" s="289" t="n">
        <f aca="false">IF(AND(Projects!$G$9="Yes",Projects!$F$9="Yes",33&gt;=Projects!$C$9,33&lt;Projects!$C$9+Projects!$D$9),Projects!$B$9*(1-SUMPRODUCT((Curves!$B$2:$AO$2)*(COLUMN(Curves!$B$2:$AO$2)-COLUMN(Curves!$B$2)+1&lt;=33-Projects!$C$9+1))),0)</f>
        <v>0</v>
      </c>
      <c r="AJ12" s="289" t="n">
        <f aca="false">IF(AND(Projects!$G$9="Yes",Projects!$F$9="Yes",34&gt;=Projects!$C$9,34&lt;Projects!$C$9+Projects!$D$9),Projects!$B$9*(1-SUMPRODUCT((Curves!$B$2:$AO$2)*(COLUMN(Curves!$B$2:$AO$2)-COLUMN(Curves!$B$2)+1&lt;=34-Projects!$C$9+1))),0)</f>
        <v>0</v>
      </c>
      <c r="AK12" s="289" t="n">
        <f aca="false">IF(AND(Projects!$G$9="Yes",Projects!$F$9="Yes",35&gt;=Projects!$C$9,35&lt;Projects!$C$9+Projects!$D$9),Projects!$B$9*(1-SUMPRODUCT((Curves!$B$2:$AO$2)*(COLUMN(Curves!$B$2:$AO$2)-COLUMN(Curves!$B$2)+1&lt;=35-Projects!$C$9+1))),0)</f>
        <v>0</v>
      </c>
      <c r="AL12" s="289" t="n">
        <f aca="false">IF(AND(Projects!$G$9="Yes",Projects!$F$9="Yes",36&gt;=Projects!$C$9,36&lt;Projects!$C$9+Projects!$D$9),Projects!$B$9*(1-SUMPRODUCT((Curves!$B$2:$AO$2)*(COLUMN(Curves!$B$2:$AO$2)-COLUMN(Curves!$B$2)+1&lt;=36-Projects!$C$9+1))),0)</f>
        <v>0</v>
      </c>
      <c r="AM12" s="289" t="n">
        <f aca="false">IF(AND(Projects!$G$9="Yes",Projects!$F$9="Yes",37&gt;=Projects!$C$9,37&lt;Projects!$C$9+Projects!$D$9),Projects!$B$9*(1-SUMPRODUCT((Curves!$B$2:$AO$2)*(COLUMN(Curves!$B$2:$AO$2)-COLUMN(Curves!$B$2)+1&lt;=37-Projects!$C$9+1))),0)</f>
        <v>0</v>
      </c>
      <c r="AN12" s="289" t="n">
        <f aca="false">IF(AND(Projects!$G$9="Yes",Projects!$F$9="Yes",38&gt;=Projects!$C$9,38&lt;Projects!$C$9+Projects!$D$9),Projects!$B$9*(1-SUMPRODUCT((Curves!$B$2:$AO$2)*(COLUMN(Curves!$B$2:$AO$2)-COLUMN(Curves!$B$2)+1&lt;=38-Projects!$C$9+1))),0)</f>
        <v>0</v>
      </c>
      <c r="AO12" s="289" t="n">
        <f aca="false">IF(AND(Projects!$G$9="Yes",Projects!$F$9="Yes",39&gt;=Projects!$C$9,39&lt;Projects!$C$9+Projects!$D$9),Projects!$B$9*(1-SUMPRODUCT((Curves!$B$2:$AO$2)*(COLUMN(Curves!$B$2:$AO$2)-COLUMN(Curves!$B$2)+1&lt;=39-Projects!$C$9+1))),0)</f>
        <v>0</v>
      </c>
      <c r="AP12" s="289" t="n">
        <f aca="false">IF(AND(Projects!$G$9="Yes",Projects!$F$9="Yes",40&gt;=Projects!$C$9,40&lt;Projects!$C$9+Projects!$D$9),Projects!$B$9*(1-SUMPRODUCT((Curves!$B$2:$AO$2)*(COLUMN(Curves!$B$2:$AO$2)-COLUMN(Curves!$B$2)+1&lt;=40-Projects!$C$9+1))),0)</f>
        <v>0</v>
      </c>
      <c r="AQ12" s="289" t="n">
        <f aca="false">IF(AND(Projects!$G$9="Yes",Projects!$F$9="Yes",41&gt;=Projects!$C$9,41&lt;Projects!$C$9+Projects!$D$9),Projects!$B$9*(1-SUMPRODUCT((Curves!$B$2:$AO$2)*(COLUMN(Curves!$B$2:$AO$2)-COLUMN(Curves!$B$2)+1&lt;=41-Projects!$C$9+1))),0)</f>
        <v>0</v>
      </c>
      <c r="AR12" s="289" t="n">
        <f aca="false">IF(AND(Projects!$G$9="Yes",Projects!$F$9="Yes",42&gt;=Projects!$C$9,42&lt;Projects!$C$9+Projects!$D$9),Projects!$B$9*(1-SUMPRODUCT((Curves!$B$2:$AO$2)*(COLUMN(Curves!$B$2:$AO$2)-COLUMN(Curves!$B$2)+1&lt;=42-Projects!$C$9+1))),0)</f>
        <v>0</v>
      </c>
      <c r="AS12" s="289" t="n">
        <f aca="false">IF(AND(Projects!$G$9="Yes",Projects!$F$9="Yes",43&gt;=Projects!$C$9,43&lt;Projects!$C$9+Projects!$D$9),Projects!$B$9*(1-SUMPRODUCT((Curves!$B$2:$AO$2)*(COLUMN(Curves!$B$2:$AO$2)-COLUMN(Curves!$B$2)+1&lt;=43-Projects!$C$9+1))),0)</f>
        <v>0</v>
      </c>
      <c r="AT12" s="289" t="n">
        <f aca="false">IF(AND(Projects!$G$9="Yes",Projects!$F$9="Yes",44&gt;=Projects!$C$9,44&lt;Projects!$C$9+Projects!$D$9),Projects!$B$9*(1-SUMPRODUCT((Curves!$B$2:$AO$2)*(COLUMN(Curves!$B$2:$AO$2)-COLUMN(Curves!$B$2)+1&lt;=44-Projects!$C$9+1))),0)</f>
        <v>0</v>
      </c>
      <c r="AU12" s="289" t="n">
        <f aca="false">IF(AND(Projects!$G$9="Yes",Projects!$F$9="Yes",45&gt;=Projects!$C$9,45&lt;Projects!$C$9+Projects!$D$9),Projects!$B$9*(1-SUMPRODUCT((Curves!$B$2:$AO$2)*(COLUMN(Curves!$B$2:$AO$2)-COLUMN(Curves!$B$2)+1&lt;=45-Projects!$C$9+1))),0)</f>
        <v>0</v>
      </c>
      <c r="AV12" s="289" t="n">
        <f aca="false">IF(AND(Projects!$G$9="Yes",Projects!$F$9="Yes",46&gt;=Projects!$C$9,46&lt;Projects!$C$9+Projects!$D$9),Projects!$B$9*(1-SUMPRODUCT((Curves!$B$2:$AO$2)*(COLUMN(Curves!$B$2:$AO$2)-COLUMN(Curves!$B$2)+1&lt;=46-Projects!$C$9+1))),0)</f>
        <v>0</v>
      </c>
      <c r="AW12" s="289" t="n">
        <f aca="false">IF(AND(Projects!$G$9="Yes",Projects!$F$9="Yes",47&gt;=Projects!$C$9,47&lt;Projects!$C$9+Projects!$D$9),Projects!$B$9*(1-SUMPRODUCT((Curves!$B$2:$AO$2)*(COLUMN(Curves!$B$2:$AO$2)-COLUMN(Curves!$B$2)+1&lt;=47-Projects!$C$9+1))),0)</f>
        <v>0</v>
      </c>
      <c r="AX12" s="289" t="n">
        <f aca="false">IF(AND(Projects!$G$9="Yes",Projects!$F$9="Yes",48&gt;=Projects!$C$9,48&lt;Projects!$C$9+Projects!$D$9),Projects!$B$9*(1-SUMPRODUCT((Curves!$B$2:$AO$2)*(COLUMN(Curves!$B$2:$AO$2)-COLUMN(Curves!$B$2)+1&lt;=48-Projects!$C$9+1))),0)</f>
        <v>0</v>
      </c>
      <c r="AY12" s="289" t="n">
        <f aca="false">IF(AND(Projects!$G$9="Yes",Projects!$F$9="Yes",49&gt;=Projects!$C$9,49&lt;Projects!$C$9+Projects!$D$9),Projects!$B$9*(1-SUMPRODUCT((Curves!$B$2:$AO$2)*(COLUMN(Curves!$B$2:$AO$2)-COLUMN(Curves!$B$2)+1&lt;=49-Projects!$C$9+1))),0)</f>
        <v>0</v>
      </c>
      <c r="AZ12" s="289" t="n">
        <f aca="false">IF(AND(Projects!$G$9="Yes",Projects!$F$9="Yes",50&gt;=Projects!$C$9,50&lt;Projects!$C$9+Projects!$D$9),Projects!$B$9*(1-SUMPRODUCT((Curves!$B$2:$AO$2)*(COLUMN(Curves!$B$2:$AO$2)-COLUMN(Curves!$B$2)+1&lt;=50-Projects!$C$9+1))),0)</f>
        <v>0</v>
      </c>
      <c r="BA12" s="289" t="n">
        <f aca="false">IF(AND(Projects!$G$9="Yes",Projects!$F$9="Yes",51&gt;=Projects!$C$9,51&lt;Projects!$C$9+Projects!$D$9),Projects!$B$9*(1-SUMPRODUCT((Curves!$B$2:$AO$2)*(COLUMN(Curves!$B$2:$AO$2)-COLUMN(Curves!$B$2)+1&lt;=51-Projects!$C$9+1))),0)</f>
        <v>0</v>
      </c>
      <c r="BB12" s="289" t="n">
        <f aca="false">IF(AND(Projects!$G$9="Yes",Projects!$F$9="Yes",52&gt;=Projects!$C$9,52&lt;Projects!$C$9+Projects!$D$9),Projects!$B$9*(1-SUMPRODUCT((Curves!$B$2:$AO$2)*(COLUMN(Curves!$B$2:$AO$2)-COLUMN(Curves!$B$2)+1&lt;=52-Projects!$C$9+1))),0)</f>
        <v>0</v>
      </c>
      <c r="BC12" s="289" t="n">
        <f aca="false">IF(AND(Projects!$G$9="Yes",Projects!$F$9="Yes",53&gt;=Projects!$C$9,53&lt;Projects!$C$9+Projects!$D$9),Projects!$B$9*(1-SUMPRODUCT((Curves!$B$2:$AO$2)*(COLUMN(Curves!$B$2:$AO$2)-COLUMN(Curves!$B$2)+1&lt;=53-Projects!$C$9+1))),0)</f>
        <v>0</v>
      </c>
      <c r="BD12" s="289" t="n">
        <f aca="false">IF(AND(Projects!$G$9="Yes",Projects!$F$9="Yes",54&gt;=Projects!$C$9,54&lt;Projects!$C$9+Projects!$D$9),Projects!$B$9*(1-SUMPRODUCT((Curves!$B$2:$AO$2)*(COLUMN(Curves!$B$2:$AO$2)-COLUMN(Curves!$B$2)+1&lt;=54-Projects!$C$9+1))),0)</f>
        <v>0</v>
      </c>
      <c r="BE12" s="289" t="n">
        <f aca="false">IF(AND(Projects!$G$9="Yes",Projects!$F$9="Yes",55&gt;=Projects!$C$9,55&lt;Projects!$C$9+Projects!$D$9),Projects!$B$9*(1-SUMPRODUCT((Curves!$B$2:$AO$2)*(COLUMN(Curves!$B$2:$AO$2)-COLUMN(Curves!$B$2)+1&lt;=55-Projects!$C$9+1))),0)</f>
        <v>0</v>
      </c>
      <c r="BF12" s="289" t="n">
        <f aca="false">IF(AND(Projects!$G$9="Yes",Projects!$F$9="Yes",56&gt;=Projects!$C$9,56&lt;Projects!$C$9+Projects!$D$9),Projects!$B$9*(1-SUMPRODUCT((Curves!$B$2:$AO$2)*(COLUMN(Curves!$B$2:$AO$2)-COLUMN(Curves!$B$2)+1&lt;=56-Projects!$C$9+1))),0)</f>
        <v>0</v>
      </c>
      <c r="BG12" s="289" t="n">
        <f aca="false">IF(AND(Projects!$G$9="Yes",Projects!$F$9="Yes",57&gt;=Projects!$C$9,57&lt;Projects!$C$9+Projects!$D$9),Projects!$B$9*(1-SUMPRODUCT((Curves!$B$2:$AO$2)*(COLUMN(Curves!$B$2:$AO$2)-COLUMN(Curves!$B$2)+1&lt;=57-Projects!$C$9+1))),0)</f>
        <v>0</v>
      </c>
      <c r="BH12" s="289" t="n">
        <f aca="false">IF(AND(Projects!$G$9="Yes",Projects!$F$9="Yes",58&gt;=Projects!$C$9,58&lt;Projects!$C$9+Projects!$D$9),Projects!$B$9*(1-SUMPRODUCT((Curves!$B$2:$AO$2)*(COLUMN(Curves!$B$2:$AO$2)-COLUMN(Curves!$B$2)+1&lt;=58-Projects!$C$9+1))),0)</f>
        <v>0</v>
      </c>
      <c r="BI12" s="289" t="n">
        <f aca="false">IF(AND(Projects!$G$9="Yes",Projects!$F$9="Yes",59&gt;=Projects!$C$9,59&lt;Projects!$C$9+Projects!$D$9),Projects!$B$9*(1-SUMPRODUCT((Curves!$B$2:$AO$2)*(COLUMN(Curves!$B$2:$AO$2)-COLUMN(Curves!$B$2)+1&lt;=59-Projects!$C$9+1))),0)</f>
        <v>0</v>
      </c>
      <c r="BJ12" s="289" t="n">
        <f aca="false">IF(AND(Projects!$G$9="Yes",Projects!$F$9="Yes",60&gt;=Projects!$C$9,60&lt;Projects!$C$9+Projects!$D$9),Projects!$B$9*(1-SUMPRODUCT((Curves!$B$2:$AO$2)*(COLUMN(Curves!$B$2:$AO$2)-COLUMN(Curves!$B$2)+1&lt;=60-Projects!$C$9+1))),0)</f>
        <v>0</v>
      </c>
      <c r="BK12" s="289" t="n">
        <f aca="false">IF(AND(Projects!$G$9="Yes",Projects!$F$9="Yes",61&gt;=Projects!$C$9,61&lt;Projects!$C$9+Projects!$D$9),Projects!$B$9*(1-SUMPRODUCT((Curves!$B$2:$AO$2)*(COLUMN(Curves!$B$2:$AO$2)-COLUMN(Curves!$B$2)+1&lt;=61-Projects!$C$9+1))),0)</f>
        <v>0</v>
      </c>
      <c r="BL12" s="289" t="n">
        <f aca="false">IF(AND(Projects!$G$9="Yes",Projects!$F$9="Yes",62&gt;=Projects!$C$9,62&lt;Projects!$C$9+Projects!$D$9),Projects!$B$9*(1-SUMPRODUCT((Curves!$B$2:$AO$2)*(COLUMN(Curves!$B$2:$AO$2)-COLUMN(Curves!$B$2)+1&lt;=62-Projects!$C$9+1))),0)</f>
        <v>0</v>
      </c>
      <c r="BM12" s="289" t="n">
        <f aca="false">IF(AND(Projects!$G$9="Yes",Projects!$F$9="Yes",63&gt;=Projects!$C$9,63&lt;Projects!$C$9+Projects!$D$9),Projects!$B$9*(1-SUMPRODUCT((Curves!$B$2:$AO$2)*(COLUMN(Curves!$B$2:$AO$2)-COLUMN(Curves!$B$2)+1&lt;=63-Projects!$C$9+1))),0)</f>
        <v>0</v>
      </c>
      <c r="BN12" s="289" t="n">
        <f aca="false">IF(AND(Projects!$G$9="Yes",Projects!$F$9="Yes",64&gt;=Projects!$C$9,64&lt;Projects!$C$9+Projects!$D$9),Projects!$B$9*(1-SUMPRODUCT((Curves!$B$2:$AO$2)*(COLUMN(Curves!$B$2:$AO$2)-COLUMN(Curves!$B$2)+1&lt;=64-Projects!$C$9+1))),0)</f>
        <v>0</v>
      </c>
      <c r="BO12" s="289" t="n">
        <f aca="false">IF(AND(Projects!$G$9="Yes",Projects!$F$9="Yes",65&gt;=Projects!$C$9,65&lt;Projects!$C$9+Projects!$D$9),Projects!$B$9*(1-SUMPRODUCT((Curves!$B$2:$AO$2)*(COLUMN(Curves!$B$2:$AO$2)-COLUMN(Curves!$B$2)+1&lt;=65-Projects!$C$9+1))),0)</f>
        <v>0</v>
      </c>
      <c r="BP12" s="289" t="n">
        <f aca="false">IF(AND(Projects!$G$9="Yes",Projects!$F$9="Yes",66&gt;=Projects!$C$9,66&lt;Projects!$C$9+Projects!$D$9),Projects!$B$9*(1-SUMPRODUCT((Curves!$B$2:$AO$2)*(COLUMN(Curves!$B$2:$AO$2)-COLUMN(Curves!$B$2)+1&lt;=66-Projects!$C$9+1))),0)</f>
        <v>0</v>
      </c>
      <c r="BQ12" s="289" t="n">
        <f aca="false">IF(AND(Projects!$G$9="Yes",Projects!$F$9="Yes",67&gt;=Projects!$C$9,67&lt;Projects!$C$9+Projects!$D$9),Projects!$B$9*(1-SUMPRODUCT((Curves!$B$2:$AO$2)*(COLUMN(Curves!$B$2:$AO$2)-COLUMN(Curves!$B$2)+1&lt;=67-Projects!$C$9+1))),0)</f>
        <v>0</v>
      </c>
      <c r="BR12" s="289" t="n">
        <f aca="false">IF(AND(Projects!$G$9="Yes",Projects!$F$9="Yes",68&gt;=Projects!$C$9,68&lt;Projects!$C$9+Projects!$D$9),Projects!$B$9*(1-SUMPRODUCT((Curves!$B$2:$AO$2)*(COLUMN(Curves!$B$2:$AO$2)-COLUMN(Curves!$B$2)+1&lt;=68-Projects!$C$9+1))),0)</f>
        <v>0</v>
      </c>
      <c r="BS12" s="289" t="n">
        <f aca="false">IF(AND(Projects!$G$9="Yes",Projects!$F$9="Yes",69&gt;=Projects!$C$9,69&lt;Projects!$C$9+Projects!$D$9),Projects!$B$9*(1-SUMPRODUCT((Curves!$B$2:$AO$2)*(COLUMN(Curves!$B$2:$AO$2)-COLUMN(Curves!$B$2)+1&lt;=69-Projects!$C$9+1))),0)</f>
        <v>0</v>
      </c>
      <c r="BT12" s="289" t="n">
        <f aca="false">IF(AND(Projects!$G$9="Yes",Projects!$F$9="Yes",70&gt;=Projects!$C$9,70&lt;Projects!$C$9+Projects!$D$9),Projects!$B$9*(1-SUMPRODUCT((Curves!$B$2:$AO$2)*(COLUMN(Curves!$B$2:$AO$2)-COLUMN(Curves!$B$2)+1&lt;=70-Projects!$C$9+1))),0)</f>
        <v>0</v>
      </c>
      <c r="BU12" s="289" t="n">
        <f aca="false">IF(AND(Projects!$G$9="Yes",Projects!$F$9="Yes",71&gt;=Projects!$C$9,71&lt;Projects!$C$9+Projects!$D$9),Projects!$B$9*(1-SUMPRODUCT((Curves!$B$2:$AO$2)*(COLUMN(Curves!$B$2:$AO$2)-COLUMN(Curves!$B$2)+1&lt;=71-Projects!$C$9+1))),0)</f>
        <v>0</v>
      </c>
      <c r="BV12" s="289" t="n">
        <f aca="false">IF(AND(Projects!$G$9="Yes",Projects!$F$9="Yes",72&gt;=Projects!$C$9,72&lt;Projects!$C$9+Projects!$D$9),Projects!$B$9*(1-SUMPRODUCT((Curves!$B$2:$AO$2)*(COLUMN(Curves!$B$2:$AO$2)-COLUMN(Curves!$B$2)+1&lt;=72-Projects!$C$9+1))),0)</f>
        <v>0</v>
      </c>
      <c r="BW12" s="289" t="n">
        <f aca="false">IF(AND(Projects!$G$9="Yes",Projects!$F$9="Yes",73&gt;=Projects!$C$9,73&lt;Projects!$C$9+Projects!$D$9),Projects!$B$9*(1-SUMPRODUCT((Curves!$B$2:$AO$2)*(COLUMN(Curves!$B$2:$AO$2)-COLUMN(Curves!$B$2)+1&lt;=73-Projects!$C$9+1))),0)</f>
        <v>0</v>
      </c>
      <c r="BX12" s="289" t="n">
        <f aca="false">IF(AND(Projects!$G$9="Yes",Projects!$F$9="Yes",74&gt;=Projects!$C$9,74&lt;Projects!$C$9+Projects!$D$9),Projects!$B$9*(1-SUMPRODUCT((Curves!$B$2:$AO$2)*(COLUMN(Curves!$B$2:$AO$2)-COLUMN(Curves!$B$2)+1&lt;=74-Projects!$C$9+1))),0)</f>
        <v>0</v>
      </c>
      <c r="BY12" s="289" t="n">
        <f aca="false">IF(AND(Projects!$G$9="Yes",Projects!$F$9="Yes",75&gt;=Projects!$C$9,75&lt;Projects!$C$9+Projects!$D$9),Projects!$B$9*(1-SUMPRODUCT((Curves!$B$2:$AO$2)*(COLUMN(Curves!$B$2:$AO$2)-COLUMN(Curves!$B$2)+1&lt;=75-Projects!$C$9+1))),0)</f>
        <v>0</v>
      </c>
      <c r="BZ12" s="289" t="n">
        <f aca="false">IF(AND(Projects!$G$9="Yes",Projects!$F$9="Yes",76&gt;=Projects!$C$9,76&lt;Projects!$C$9+Projects!$D$9),Projects!$B$9*(1-SUMPRODUCT((Curves!$B$2:$AO$2)*(COLUMN(Curves!$B$2:$AO$2)-COLUMN(Curves!$B$2)+1&lt;=76-Projects!$C$9+1))),0)</f>
        <v>0</v>
      </c>
      <c r="CA12" s="289" t="n">
        <f aca="false">IF(AND(Projects!$G$9="Yes",Projects!$F$9="Yes",77&gt;=Projects!$C$9,77&lt;Projects!$C$9+Projects!$D$9),Projects!$B$9*(1-SUMPRODUCT((Curves!$B$2:$AO$2)*(COLUMN(Curves!$B$2:$AO$2)-COLUMN(Curves!$B$2)+1&lt;=77-Projects!$C$9+1))),0)</f>
        <v>0</v>
      </c>
      <c r="CB12" s="289" t="n">
        <f aca="false">IF(AND(Projects!$G$9="Yes",Projects!$F$9="Yes",78&gt;=Projects!$C$9,78&lt;Projects!$C$9+Projects!$D$9),Projects!$B$9*(1-SUMPRODUCT((Curves!$B$2:$AO$2)*(COLUMN(Curves!$B$2:$AO$2)-COLUMN(Curves!$B$2)+1&lt;=78-Projects!$C$9+1))),0)</f>
        <v>0</v>
      </c>
      <c r="CC12" s="289" t="n">
        <f aca="false">IF(AND(Projects!$G$9="Yes",Projects!$F$9="Yes",79&gt;=Projects!$C$9,79&lt;Projects!$C$9+Projects!$D$9),Projects!$B$9*(1-SUMPRODUCT((Curves!$B$2:$AO$2)*(COLUMN(Curves!$B$2:$AO$2)-COLUMN(Curves!$B$2)+1&lt;=79-Projects!$C$9+1))),0)</f>
        <v>0</v>
      </c>
      <c r="CD12" s="289" t="n">
        <f aca="false">IF(AND(Projects!$G$9="Yes",Projects!$F$9="Yes",80&gt;=Projects!$C$9,80&lt;Projects!$C$9+Projects!$D$9),Projects!$B$9*(1-SUMPRODUCT((Curves!$B$2:$AO$2)*(COLUMN(Curves!$B$2:$AO$2)-COLUMN(Curves!$B$2)+1&lt;=80-Projects!$C$9+1))),0)</f>
        <v>0</v>
      </c>
      <c r="CE12" s="289" t="n">
        <f aca="false">IF(AND(Projects!$G$9="Yes",Projects!$F$9="Yes",81&gt;=Projects!$C$9,81&lt;Projects!$C$9+Projects!$D$9),Projects!$B$9*(1-SUMPRODUCT((Curves!$B$2:$AO$2)*(COLUMN(Curves!$B$2:$AO$2)-COLUMN(Curves!$B$2)+1&lt;=81-Projects!$C$9+1))),0)</f>
        <v>0</v>
      </c>
      <c r="CF12" s="289" t="n">
        <f aca="false">IF(AND(Projects!$G$9="Yes",Projects!$F$9="Yes",82&gt;=Projects!$C$9,82&lt;Projects!$C$9+Projects!$D$9),Projects!$B$9*(1-SUMPRODUCT((Curves!$B$2:$AO$2)*(COLUMN(Curves!$B$2:$AO$2)-COLUMN(Curves!$B$2)+1&lt;=82-Projects!$C$9+1))),0)</f>
        <v>0</v>
      </c>
      <c r="CG12" s="289" t="n">
        <f aca="false">IF(AND(Projects!$G$9="Yes",Projects!$F$9="Yes",83&gt;=Projects!$C$9,83&lt;Projects!$C$9+Projects!$D$9),Projects!$B$9*(1-SUMPRODUCT((Curves!$B$2:$AO$2)*(COLUMN(Curves!$B$2:$AO$2)-COLUMN(Curves!$B$2)+1&lt;=83-Projects!$C$9+1))),0)</f>
        <v>0</v>
      </c>
      <c r="CH12" s="289" t="n">
        <f aca="false">IF(AND(Projects!$G$9="Yes",Projects!$F$9="Yes",84&gt;=Projects!$C$9,84&lt;Projects!$C$9+Projects!$D$9),Projects!$B$9*(1-SUMPRODUCT((Curves!$B$2:$AO$2)*(COLUMN(Curves!$B$2:$AO$2)-COLUMN(Curves!$B$2)+1&lt;=84-Projects!$C$9+1))),0)</f>
        <v>0</v>
      </c>
      <c r="CI12" s="289" t="n">
        <f aca="false">IF(AND(Projects!$G$9="Yes",Projects!$F$9="Yes",85&gt;=Projects!$C$9,85&lt;Projects!$C$9+Projects!$D$9),Projects!$B$9*(1-SUMPRODUCT((Curves!$B$2:$AO$2)*(COLUMN(Curves!$B$2:$AO$2)-COLUMN(Curves!$B$2)+1&lt;=85-Projects!$C$9+1))),0)</f>
        <v>0</v>
      </c>
      <c r="CJ12" s="289" t="n">
        <f aca="false">IF(AND(Projects!$G$9="Yes",Projects!$F$9="Yes",86&gt;=Projects!$C$9,86&lt;Projects!$C$9+Projects!$D$9),Projects!$B$9*(1-SUMPRODUCT((Curves!$B$2:$AO$2)*(COLUMN(Curves!$B$2:$AO$2)-COLUMN(Curves!$B$2)+1&lt;=86-Projects!$C$9+1))),0)</f>
        <v>0</v>
      </c>
      <c r="CK12" s="289" t="n">
        <f aca="false">IF(AND(Projects!$G$9="Yes",Projects!$F$9="Yes",87&gt;=Projects!$C$9,87&lt;Projects!$C$9+Projects!$D$9),Projects!$B$9*(1-SUMPRODUCT((Curves!$B$2:$AO$2)*(COLUMN(Curves!$B$2:$AO$2)-COLUMN(Curves!$B$2)+1&lt;=87-Projects!$C$9+1))),0)</f>
        <v>0</v>
      </c>
      <c r="CL12" s="289" t="n">
        <f aca="false">IF(AND(Projects!$G$9="Yes",Projects!$F$9="Yes",88&gt;=Projects!$C$9,88&lt;Projects!$C$9+Projects!$D$9),Projects!$B$9*(1-SUMPRODUCT((Curves!$B$2:$AO$2)*(COLUMN(Curves!$B$2:$AO$2)-COLUMN(Curves!$B$2)+1&lt;=88-Projects!$C$9+1))),0)</f>
        <v>0</v>
      </c>
      <c r="CM12" s="289" t="n">
        <f aca="false">IF(AND(Projects!$G$9="Yes",Projects!$F$9="Yes",89&gt;=Projects!$C$9,89&lt;Projects!$C$9+Projects!$D$9),Projects!$B$9*(1-SUMPRODUCT((Curves!$B$2:$AO$2)*(COLUMN(Curves!$B$2:$AO$2)-COLUMN(Curves!$B$2)+1&lt;=89-Projects!$C$9+1))),0)</f>
        <v>0</v>
      </c>
      <c r="CN12" s="289" t="n">
        <f aca="false">IF(AND(Projects!$G$9="Yes",Projects!$F$9="Yes",90&gt;=Projects!$C$9,90&lt;Projects!$C$9+Projects!$D$9),Projects!$B$9*(1-SUMPRODUCT((Curves!$B$2:$AO$2)*(COLUMN(Curves!$B$2:$AO$2)-COLUMN(Curves!$B$2)+1&lt;=90-Projects!$C$9+1))),0)</f>
        <v>0</v>
      </c>
      <c r="CO12" s="289" t="n">
        <f aca="false">IF(AND(Projects!$G$9="Yes",Projects!$F$9="Yes",91&gt;=Projects!$C$9,91&lt;Projects!$C$9+Projects!$D$9),Projects!$B$9*(1-SUMPRODUCT((Curves!$B$2:$AO$2)*(COLUMN(Curves!$B$2:$AO$2)-COLUMN(Curves!$B$2)+1&lt;=91-Projects!$C$9+1))),0)</f>
        <v>0</v>
      </c>
      <c r="CP12" s="289" t="n">
        <f aca="false">IF(AND(Projects!$G$9="Yes",Projects!$F$9="Yes",92&gt;=Projects!$C$9,92&lt;Projects!$C$9+Projects!$D$9),Projects!$B$9*(1-SUMPRODUCT((Curves!$B$2:$AO$2)*(COLUMN(Curves!$B$2:$AO$2)-COLUMN(Curves!$B$2)+1&lt;=92-Projects!$C$9+1))),0)</f>
        <v>0</v>
      </c>
      <c r="CQ12" s="289"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9" t="n">
        <f aca="false">IF(AND(Projects!$G$10="Yes",Projects!$F$10="Yes",1&gt;=Projects!$C$10,1&lt;Projects!$C$10+Projects!$D$10),Projects!$B$10*(1-SUMPRODUCT((Curves!$B$4:$AO$4)*(COLUMN(Curves!$B$4:$AO$4)-COLUMN(Curves!$B$4)+1&lt;=1-Projects!$C$10+1))),0)</f>
        <v>0</v>
      </c>
      <c r="D13" s="289" t="n">
        <f aca="false">IF(AND(Projects!$G$10="Yes",Projects!$F$10="Yes",2&gt;=Projects!$C$10,2&lt;Projects!$C$10+Projects!$D$10),Projects!$B$10*(1-SUMPRODUCT((Curves!$B$4:$AO$4)*(COLUMN(Curves!$B$4:$AO$4)-COLUMN(Curves!$B$4)+1&lt;=2-Projects!$C$10+1))),0)</f>
        <v>0</v>
      </c>
      <c r="E13" s="289" t="n">
        <f aca="false">IF(AND(Projects!$G$10="Yes",Projects!$F$10="Yes",3&gt;=Projects!$C$10,3&lt;Projects!$C$10+Projects!$D$10),Projects!$B$10*(1-SUMPRODUCT((Curves!$B$4:$AO$4)*(COLUMN(Curves!$B$4:$AO$4)-COLUMN(Curves!$B$4)+1&lt;=3-Projects!$C$10+1))),0)</f>
        <v>0</v>
      </c>
      <c r="F13" s="289" t="n">
        <f aca="false">IF(AND(Projects!$G$10="Yes",Projects!$F$10="Yes",4&gt;=Projects!$C$10,4&lt;Projects!$C$10+Projects!$D$10),Projects!$B$10*(1-SUMPRODUCT((Curves!$B$4:$AO$4)*(COLUMN(Curves!$B$4:$AO$4)-COLUMN(Curves!$B$4)+1&lt;=4-Projects!$C$10+1))),0)</f>
        <v>0</v>
      </c>
      <c r="G13" s="289" t="n">
        <f aca="false">IF(AND(Projects!$G$10="Yes",Projects!$F$10="Yes",5&gt;=Projects!$C$10,5&lt;Projects!$C$10+Projects!$D$10),Projects!$B$10*(1-SUMPRODUCT((Curves!$B$4:$AO$4)*(COLUMN(Curves!$B$4:$AO$4)-COLUMN(Curves!$B$4)+1&lt;=5-Projects!$C$10+1))),0)</f>
        <v>0</v>
      </c>
      <c r="H13" s="289" t="n">
        <f aca="false">IF(AND(Projects!$G$10="Yes",Projects!$F$10="Yes",6&gt;=Projects!$C$10,6&lt;Projects!$C$10+Projects!$D$10),Projects!$B$10*(1-SUMPRODUCT((Curves!$B$4:$AO$4)*(COLUMN(Curves!$B$4:$AO$4)-COLUMN(Curves!$B$4)+1&lt;=6-Projects!$C$10+1))),0)</f>
        <v>0</v>
      </c>
      <c r="I13" s="289" t="n">
        <f aca="false">IF(AND(Projects!$G$10="Yes",Projects!$F$10="Yes",7&gt;=Projects!$C$10,7&lt;Projects!$C$10+Projects!$D$10),Projects!$B$10*(1-SUMPRODUCT((Curves!$B$4:$AO$4)*(COLUMN(Curves!$B$4:$AO$4)-COLUMN(Curves!$B$4)+1&lt;=7-Projects!$C$10+1))),0)</f>
        <v>0</v>
      </c>
      <c r="J13" s="289" t="n">
        <f aca="false">IF(AND(Projects!$G$10="Yes",Projects!$F$10="Yes",8&gt;=Projects!$C$10,8&lt;Projects!$C$10+Projects!$D$10),Projects!$B$10*(1-SUMPRODUCT((Curves!$B$4:$AO$4)*(COLUMN(Curves!$B$4:$AO$4)-COLUMN(Curves!$B$4)+1&lt;=8-Projects!$C$10+1))),0)</f>
        <v>0</v>
      </c>
      <c r="K13" s="289" t="n">
        <f aca="false">IF(AND(Projects!$G$10="Yes",Projects!$F$10="Yes",9&gt;=Projects!$C$10,9&lt;Projects!$C$10+Projects!$D$10),Projects!$B$10*(1-SUMPRODUCT((Curves!$B$4:$AO$4)*(COLUMN(Curves!$B$4:$AO$4)-COLUMN(Curves!$B$4)+1&lt;=9-Projects!$C$10+1))),0)</f>
        <v>20699563.289615</v>
      </c>
      <c r="L13" s="289" t="n">
        <f aca="false">IF(AND(Projects!$G$10="Yes",Projects!$F$10="Yes",10&gt;=Projects!$C$10,10&lt;Projects!$C$10+Projects!$D$10),Projects!$B$10*(1-SUMPRODUCT((Curves!$B$4:$AO$4)*(COLUMN(Curves!$B$4:$AO$4)-COLUMN(Curves!$B$4)+1&lt;=10-Projects!$C$10+1))),0)</f>
        <v>20002952.87841</v>
      </c>
      <c r="M13" s="289" t="n">
        <f aca="false">IF(AND(Projects!$G$10="Yes",Projects!$F$10="Yes",11&gt;=Projects!$C$10,11&lt;Projects!$C$10+Projects!$D$10),Projects!$B$10*(1-SUMPRODUCT((Curves!$B$4:$AO$4)*(COLUMN(Curves!$B$4:$AO$4)-COLUMN(Curves!$B$4)+1&lt;=11-Projects!$C$10+1))),0)</f>
        <v>19163431.1222</v>
      </c>
      <c r="N13" s="289" t="n">
        <f aca="false">IF(AND(Projects!$G$10="Yes",Projects!$F$10="Yes",12&gt;=Projects!$C$10,12&lt;Projects!$C$10+Projects!$D$10),Projects!$B$10*(1-SUMPRODUCT((Curves!$B$4:$AO$4)*(COLUMN(Curves!$B$4:$AO$4)-COLUMN(Curves!$B$4)+1&lt;=12-Projects!$C$10+1))),0)</f>
        <v>18176553.96934</v>
      </c>
      <c r="O13" s="289" t="n">
        <f aca="false">IF(AND(Projects!$G$10="Yes",Projects!$F$10="Yes",13&gt;=Projects!$C$10,13&lt;Projects!$C$10+Projects!$D$10),Projects!$B$10*(1-SUMPRODUCT((Curves!$B$4:$AO$4)*(COLUMN(Curves!$B$4:$AO$4)-COLUMN(Curves!$B$4)+1&lt;=13-Projects!$C$10+1))),0)</f>
        <v>17044958.08205</v>
      </c>
      <c r="P13" s="289" t="n">
        <f aca="false">IF(AND(Projects!$G$10="Yes",Projects!$F$10="Yes",14&gt;=Projects!$C$10,14&lt;Projects!$C$10+Projects!$D$10),Projects!$B$10*(1-SUMPRODUCT((Curves!$B$4:$AO$4)*(COLUMN(Curves!$B$4:$AO$4)-COLUMN(Curves!$B$4)+1&lt;=14-Projects!$C$10+1))),0)</f>
        <v>15779317.68964</v>
      </c>
      <c r="Q13" s="289" t="n">
        <f aca="false">IF(AND(Projects!$G$10="Yes",Projects!$F$10="Yes",15&gt;=Projects!$C$10,15&lt;Projects!$C$10+Projects!$D$10),Projects!$B$10*(1-SUMPRODUCT((Curves!$B$4:$AO$4)*(COLUMN(Curves!$B$4:$AO$4)-COLUMN(Curves!$B$4)+1&lt;=15-Projects!$C$10+1))),0)</f>
        <v>14398535.959155</v>
      </c>
      <c r="R13" s="289" t="n">
        <f aca="false">IF(AND(Projects!$G$10="Yes",Projects!$F$10="Yes",16&gt;=Projects!$C$10,16&lt;Projects!$C$10+Projects!$D$10),Projects!$B$10*(1-SUMPRODUCT((Curves!$B$4:$AO$4)*(COLUMN(Curves!$B$4:$AO$4)-COLUMN(Curves!$B$4)+1&lt;=16-Projects!$C$10+1))),0)</f>
        <v>12929149.620035</v>
      </c>
      <c r="S13" s="289" t="n">
        <f aca="false">IF(AND(Projects!$G$10="Yes",Projects!$F$10="Yes",17&gt;=Projects!$C$10,17&lt;Projects!$C$10+Projects!$D$10),Projects!$B$10*(1-SUMPRODUCT((Curves!$B$4:$AO$4)*(COLUMN(Curves!$B$4:$AO$4)-COLUMN(Curves!$B$4)+1&lt;=17-Projects!$C$10+1))),0)</f>
        <v>11403883.052575</v>
      </c>
      <c r="T13" s="289" t="n">
        <f aca="false">IF(AND(Projects!$G$10="Yes",Projects!$F$10="Yes",18&gt;=Projects!$C$10,18&lt;Projects!$C$10+Projects!$D$10),Projects!$B$10*(1-SUMPRODUCT((Curves!$B$4:$AO$4)*(COLUMN(Curves!$B$4:$AO$4)-COLUMN(Curves!$B$4)+1&lt;=18-Projects!$C$10+1))),0)</f>
        <v>9859521.947425</v>
      </c>
      <c r="U13" s="289" t="n">
        <f aca="false">IF(AND(Projects!$G$10="Yes",Projects!$F$10="Yes",19&gt;=Projects!$C$10,19&lt;Projects!$C$10+Projects!$D$10),Projects!$B$10*(1-SUMPRODUCT((Curves!$B$4:$AO$4)*(COLUMN(Curves!$B$4:$AO$4)-COLUMN(Curves!$B$4)+1&lt;=19-Projects!$C$10+1))),0)</f>
        <v>8334255.379965</v>
      </c>
      <c r="V13" s="289" t="n">
        <f aca="false">IF(AND(Projects!$G$10="Yes",Projects!$F$10="Yes",20&gt;=Projects!$C$10,20&lt;Projects!$C$10+Projects!$D$10),Projects!$B$10*(1-SUMPRODUCT((Curves!$B$4:$AO$4)*(COLUMN(Curves!$B$4:$AO$4)-COLUMN(Curves!$B$4)+1&lt;=20-Projects!$C$10+1))),0)</f>
        <v>6864869.040845</v>
      </c>
      <c r="W13" s="289" t="n">
        <f aca="false">IF(AND(Projects!$G$10="Yes",Projects!$F$10="Yes",21&gt;=Projects!$C$10,21&lt;Projects!$C$10+Projects!$D$10),Projects!$B$10*(1-SUMPRODUCT((Curves!$B$4:$AO$4)*(COLUMN(Curves!$B$4:$AO$4)-COLUMN(Curves!$B$4)+1&lt;=21-Projects!$C$10+1))),0)</f>
        <v>5484087.31036</v>
      </c>
      <c r="X13" s="289" t="n">
        <f aca="false">IF(AND(Projects!$G$10="Yes",Projects!$F$10="Yes",22&gt;=Projects!$C$10,22&lt;Projects!$C$10+Projects!$D$10),Projects!$B$10*(1-SUMPRODUCT((Curves!$B$4:$AO$4)*(COLUMN(Curves!$B$4:$AO$4)-COLUMN(Curves!$B$4)+1&lt;=22-Projects!$C$10+1))),0)</f>
        <v>4218446.91795</v>
      </c>
      <c r="Y13" s="289" t="n">
        <f aca="false">IF(AND(Projects!$G$10="Yes",Projects!$F$10="Yes",23&gt;=Projects!$C$10,23&lt;Projects!$C$10+Projects!$D$10),Projects!$B$10*(1-SUMPRODUCT((Curves!$B$4:$AO$4)*(COLUMN(Curves!$B$4:$AO$4)-COLUMN(Curves!$B$4)+1&lt;=23-Projects!$C$10+1))),0)</f>
        <v>3086851.03066</v>
      </c>
      <c r="Z13" s="289" t="n">
        <f aca="false">IF(AND(Projects!$G$10="Yes",Projects!$F$10="Yes",24&gt;=Projects!$C$10,24&lt;Projects!$C$10+Projects!$D$10),Projects!$B$10*(1-SUMPRODUCT((Curves!$B$4:$AO$4)*(COLUMN(Curves!$B$4:$AO$4)-COLUMN(Curves!$B$4)+1&lt;=24-Projects!$C$10+1))),0)</f>
        <v>2099973.8778</v>
      </c>
      <c r="AA13" s="289" t="n">
        <f aca="false">IF(AND(Projects!$G$10="Yes",Projects!$F$10="Yes",25&gt;=Projects!$C$10,25&lt;Projects!$C$10+Projects!$D$10),Projects!$B$10*(1-SUMPRODUCT((Curves!$B$4:$AO$4)*(COLUMN(Curves!$B$4:$AO$4)-COLUMN(Curves!$B$4)+1&lt;=25-Projects!$C$10+1))),0)</f>
        <v>1260452.12159</v>
      </c>
      <c r="AB13" s="289" t="n">
        <f aca="false">IF(AND(Projects!$G$10="Yes",Projects!$F$10="Yes",26&gt;=Projects!$C$10,26&lt;Projects!$C$10+Projects!$D$10),Projects!$B$10*(1-SUMPRODUCT((Curves!$B$4:$AO$4)*(COLUMN(Curves!$B$4:$AO$4)-COLUMN(Curves!$B$4)+1&lt;=26-Projects!$C$10+1))),0)</f>
        <v>563841.710385</v>
      </c>
      <c r="AC13" s="289" t="n">
        <f aca="false">IF(AND(Projects!$G$10="Yes",Projects!$F$10="Yes",27&gt;=Projects!$C$10,27&lt;Projects!$C$10+Projects!$D$10),Projects!$B$10*(1-SUMPRODUCT((Curves!$B$4:$AO$4)*(COLUMN(Curves!$B$4:$AO$4)-COLUMN(Curves!$B$4)+1&lt;=27-Projects!$C$10+1))),0)</f>
        <v>0</v>
      </c>
      <c r="AD13" s="289" t="n">
        <f aca="false">IF(AND(Projects!$G$10="Yes",Projects!$F$10="Yes",28&gt;=Projects!$C$10,28&lt;Projects!$C$10+Projects!$D$10),Projects!$B$10*(1-SUMPRODUCT((Curves!$B$4:$AO$4)*(COLUMN(Curves!$B$4:$AO$4)-COLUMN(Curves!$B$4)+1&lt;=28-Projects!$C$10+1))),0)</f>
        <v>0</v>
      </c>
      <c r="AE13" s="289" t="n">
        <f aca="false">IF(AND(Projects!$G$10="Yes",Projects!$F$10="Yes",29&gt;=Projects!$C$10,29&lt;Projects!$C$10+Projects!$D$10),Projects!$B$10*(1-SUMPRODUCT((Curves!$B$4:$AO$4)*(COLUMN(Curves!$B$4:$AO$4)-COLUMN(Curves!$B$4)+1&lt;=29-Projects!$C$10+1))),0)</f>
        <v>0</v>
      </c>
      <c r="AF13" s="289" t="n">
        <f aca="false">IF(AND(Projects!$G$10="Yes",Projects!$F$10="Yes",30&gt;=Projects!$C$10,30&lt;Projects!$C$10+Projects!$D$10),Projects!$B$10*(1-SUMPRODUCT((Curves!$B$4:$AO$4)*(COLUMN(Curves!$B$4:$AO$4)-COLUMN(Curves!$B$4)+1&lt;=30-Projects!$C$10+1))),0)</f>
        <v>0</v>
      </c>
      <c r="AG13" s="289" t="n">
        <f aca="false">IF(AND(Projects!$G$10="Yes",Projects!$F$10="Yes",31&gt;=Projects!$C$10,31&lt;Projects!$C$10+Projects!$D$10),Projects!$B$10*(1-SUMPRODUCT((Curves!$B$4:$AO$4)*(COLUMN(Curves!$B$4:$AO$4)-COLUMN(Curves!$B$4)+1&lt;=31-Projects!$C$10+1))),0)</f>
        <v>0</v>
      </c>
      <c r="AH13" s="289" t="n">
        <f aca="false">IF(AND(Projects!$G$10="Yes",Projects!$F$10="Yes",32&gt;=Projects!$C$10,32&lt;Projects!$C$10+Projects!$D$10),Projects!$B$10*(1-SUMPRODUCT((Curves!$B$4:$AO$4)*(COLUMN(Curves!$B$4:$AO$4)-COLUMN(Curves!$B$4)+1&lt;=32-Projects!$C$10+1))),0)</f>
        <v>0</v>
      </c>
      <c r="AI13" s="289" t="n">
        <f aca="false">IF(AND(Projects!$G$10="Yes",Projects!$F$10="Yes",33&gt;=Projects!$C$10,33&lt;Projects!$C$10+Projects!$D$10),Projects!$B$10*(1-SUMPRODUCT((Curves!$B$4:$AO$4)*(COLUMN(Curves!$B$4:$AO$4)-COLUMN(Curves!$B$4)+1&lt;=33-Projects!$C$10+1))),0)</f>
        <v>0</v>
      </c>
      <c r="AJ13" s="289" t="n">
        <f aca="false">IF(AND(Projects!$G$10="Yes",Projects!$F$10="Yes",34&gt;=Projects!$C$10,34&lt;Projects!$C$10+Projects!$D$10),Projects!$B$10*(1-SUMPRODUCT((Curves!$B$4:$AO$4)*(COLUMN(Curves!$B$4:$AO$4)-COLUMN(Curves!$B$4)+1&lt;=34-Projects!$C$10+1))),0)</f>
        <v>0</v>
      </c>
      <c r="AK13" s="289" t="n">
        <f aca="false">IF(AND(Projects!$G$10="Yes",Projects!$F$10="Yes",35&gt;=Projects!$C$10,35&lt;Projects!$C$10+Projects!$D$10),Projects!$B$10*(1-SUMPRODUCT((Curves!$B$4:$AO$4)*(COLUMN(Curves!$B$4:$AO$4)-COLUMN(Curves!$B$4)+1&lt;=35-Projects!$C$10+1))),0)</f>
        <v>0</v>
      </c>
      <c r="AL13" s="289" t="n">
        <f aca="false">IF(AND(Projects!$G$10="Yes",Projects!$F$10="Yes",36&gt;=Projects!$C$10,36&lt;Projects!$C$10+Projects!$D$10),Projects!$B$10*(1-SUMPRODUCT((Curves!$B$4:$AO$4)*(COLUMN(Curves!$B$4:$AO$4)-COLUMN(Curves!$B$4)+1&lt;=36-Projects!$C$10+1))),0)</f>
        <v>0</v>
      </c>
      <c r="AM13" s="289" t="n">
        <f aca="false">IF(AND(Projects!$G$10="Yes",Projects!$F$10="Yes",37&gt;=Projects!$C$10,37&lt;Projects!$C$10+Projects!$D$10),Projects!$B$10*(1-SUMPRODUCT((Curves!$B$4:$AO$4)*(COLUMN(Curves!$B$4:$AO$4)-COLUMN(Curves!$B$4)+1&lt;=37-Projects!$C$10+1))),0)</f>
        <v>0</v>
      </c>
      <c r="AN13" s="289" t="n">
        <f aca="false">IF(AND(Projects!$G$10="Yes",Projects!$F$10="Yes",38&gt;=Projects!$C$10,38&lt;Projects!$C$10+Projects!$D$10),Projects!$B$10*(1-SUMPRODUCT((Curves!$B$4:$AO$4)*(COLUMN(Curves!$B$4:$AO$4)-COLUMN(Curves!$B$4)+1&lt;=38-Projects!$C$10+1))),0)</f>
        <v>0</v>
      </c>
      <c r="AO13" s="289" t="n">
        <f aca="false">IF(AND(Projects!$G$10="Yes",Projects!$F$10="Yes",39&gt;=Projects!$C$10,39&lt;Projects!$C$10+Projects!$D$10),Projects!$B$10*(1-SUMPRODUCT((Curves!$B$4:$AO$4)*(COLUMN(Curves!$B$4:$AO$4)-COLUMN(Curves!$B$4)+1&lt;=39-Projects!$C$10+1))),0)</f>
        <v>0</v>
      </c>
      <c r="AP13" s="289" t="n">
        <f aca="false">IF(AND(Projects!$G$10="Yes",Projects!$F$10="Yes",40&gt;=Projects!$C$10,40&lt;Projects!$C$10+Projects!$D$10),Projects!$B$10*(1-SUMPRODUCT((Curves!$B$4:$AO$4)*(COLUMN(Curves!$B$4:$AO$4)-COLUMN(Curves!$B$4)+1&lt;=40-Projects!$C$10+1))),0)</f>
        <v>0</v>
      </c>
      <c r="AQ13" s="289" t="n">
        <f aca="false">IF(AND(Projects!$G$10="Yes",Projects!$F$10="Yes",41&gt;=Projects!$C$10,41&lt;Projects!$C$10+Projects!$D$10),Projects!$B$10*(1-SUMPRODUCT((Curves!$B$4:$AO$4)*(COLUMN(Curves!$B$4:$AO$4)-COLUMN(Curves!$B$4)+1&lt;=41-Projects!$C$10+1))),0)</f>
        <v>0</v>
      </c>
      <c r="AR13" s="289" t="n">
        <f aca="false">IF(AND(Projects!$G$10="Yes",Projects!$F$10="Yes",42&gt;=Projects!$C$10,42&lt;Projects!$C$10+Projects!$D$10),Projects!$B$10*(1-SUMPRODUCT((Curves!$B$4:$AO$4)*(COLUMN(Curves!$B$4:$AO$4)-COLUMN(Curves!$B$4)+1&lt;=42-Projects!$C$10+1))),0)</f>
        <v>0</v>
      </c>
      <c r="AS13" s="289" t="n">
        <f aca="false">IF(AND(Projects!$G$10="Yes",Projects!$F$10="Yes",43&gt;=Projects!$C$10,43&lt;Projects!$C$10+Projects!$D$10),Projects!$B$10*(1-SUMPRODUCT((Curves!$B$4:$AO$4)*(COLUMN(Curves!$B$4:$AO$4)-COLUMN(Curves!$B$4)+1&lt;=43-Projects!$C$10+1))),0)</f>
        <v>0</v>
      </c>
      <c r="AT13" s="289" t="n">
        <f aca="false">IF(AND(Projects!$G$10="Yes",Projects!$F$10="Yes",44&gt;=Projects!$C$10,44&lt;Projects!$C$10+Projects!$D$10),Projects!$B$10*(1-SUMPRODUCT((Curves!$B$4:$AO$4)*(COLUMN(Curves!$B$4:$AO$4)-COLUMN(Curves!$B$4)+1&lt;=44-Projects!$C$10+1))),0)</f>
        <v>0</v>
      </c>
      <c r="AU13" s="289" t="n">
        <f aca="false">IF(AND(Projects!$G$10="Yes",Projects!$F$10="Yes",45&gt;=Projects!$C$10,45&lt;Projects!$C$10+Projects!$D$10),Projects!$B$10*(1-SUMPRODUCT((Curves!$B$4:$AO$4)*(COLUMN(Curves!$B$4:$AO$4)-COLUMN(Curves!$B$4)+1&lt;=45-Projects!$C$10+1))),0)</f>
        <v>0</v>
      </c>
      <c r="AV13" s="289" t="n">
        <f aca="false">IF(AND(Projects!$G$10="Yes",Projects!$F$10="Yes",46&gt;=Projects!$C$10,46&lt;Projects!$C$10+Projects!$D$10),Projects!$B$10*(1-SUMPRODUCT((Curves!$B$4:$AO$4)*(COLUMN(Curves!$B$4:$AO$4)-COLUMN(Curves!$B$4)+1&lt;=46-Projects!$C$10+1))),0)</f>
        <v>0</v>
      </c>
      <c r="AW13" s="289" t="n">
        <f aca="false">IF(AND(Projects!$G$10="Yes",Projects!$F$10="Yes",47&gt;=Projects!$C$10,47&lt;Projects!$C$10+Projects!$D$10),Projects!$B$10*(1-SUMPRODUCT((Curves!$B$4:$AO$4)*(COLUMN(Curves!$B$4:$AO$4)-COLUMN(Curves!$B$4)+1&lt;=47-Projects!$C$10+1))),0)</f>
        <v>0</v>
      </c>
      <c r="AX13" s="289" t="n">
        <f aca="false">IF(AND(Projects!$G$10="Yes",Projects!$F$10="Yes",48&gt;=Projects!$C$10,48&lt;Projects!$C$10+Projects!$D$10),Projects!$B$10*(1-SUMPRODUCT((Curves!$B$4:$AO$4)*(COLUMN(Curves!$B$4:$AO$4)-COLUMN(Curves!$B$4)+1&lt;=48-Projects!$C$10+1))),0)</f>
        <v>0</v>
      </c>
      <c r="AY13" s="289" t="n">
        <f aca="false">IF(AND(Projects!$G$10="Yes",Projects!$F$10="Yes",49&gt;=Projects!$C$10,49&lt;Projects!$C$10+Projects!$D$10),Projects!$B$10*(1-SUMPRODUCT((Curves!$B$4:$AO$4)*(COLUMN(Curves!$B$4:$AO$4)-COLUMN(Curves!$B$4)+1&lt;=49-Projects!$C$10+1))),0)</f>
        <v>0</v>
      </c>
      <c r="AZ13" s="289" t="n">
        <f aca="false">IF(AND(Projects!$G$10="Yes",Projects!$F$10="Yes",50&gt;=Projects!$C$10,50&lt;Projects!$C$10+Projects!$D$10),Projects!$B$10*(1-SUMPRODUCT((Curves!$B$4:$AO$4)*(COLUMN(Curves!$B$4:$AO$4)-COLUMN(Curves!$B$4)+1&lt;=50-Projects!$C$10+1))),0)</f>
        <v>0</v>
      </c>
      <c r="BA13" s="289" t="n">
        <f aca="false">IF(AND(Projects!$G$10="Yes",Projects!$F$10="Yes",51&gt;=Projects!$C$10,51&lt;Projects!$C$10+Projects!$D$10),Projects!$B$10*(1-SUMPRODUCT((Curves!$B$4:$AO$4)*(COLUMN(Curves!$B$4:$AO$4)-COLUMN(Curves!$B$4)+1&lt;=51-Projects!$C$10+1))),0)</f>
        <v>0</v>
      </c>
      <c r="BB13" s="289" t="n">
        <f aca="false">IF(AND(Projects!$G$10="Yes",Projects!$F$10="Yes",52&gt;=Projects!$C$10,52&lt;Projects!$C$10+Projects!$D$10),Projects!$B$10*(1-SUMPRODUCT((Curves!$B$4:$AO$4)*(COLUMN(Curves!$B$4:$AO$4)-COLUMN(Curves!$B$4)+1&lt;=52-Projects!$C$10+1))),0)</f>
        <v>0</v>
      </c>
      <c r="BC13" s="289" t="n">
        <f aca="false">IF(AND(Projects!$G$10="Yes",Projects!$F$10="Yes",53&gt;=Projects!$C$10,53&lt;Projects!$C$10+Projects!$D$10),Projects!$B$10*(1-SUMPRODUCT((Curves!$B$4:$AO$4)*(COLUMN(Curves!$B$4:$AO$4)-COLUMN(Curves!$B$4)+1&lt;=53-Projects!$C$10+1))),0)</f>
        <v>0</v>
      </c>
      <c r="BD13" s="289" t="n">
        <f aca="false">IF(AND(Projects!$G$10="Yes",Projects!$F$10="Yes",54&gt;=Projects!$C$10,54&lt;Projects!$C$10+Projects!$D$10),Projects!$B$10*(1-SUMPRODUCT((Curves!$B$4:$AO$4)*(COLUMN(Curves!$B$4:$AO$4)-COLUMN(Curves!$B$4)+1&lt;=54-Projects!$C$10+1))),0)</f>
        <v>0</v>
      </c>
      <c r="BE13" s="289" t="n">
        <f aca="false">IF(AND(Projects!$G$10="Yes",Projects!$F$10="Yes",55&gt;=Projects!$C$10,55&lt;Projects!$C$10+Projects!$D$10),Projects!$B$10*(1-SUMPRODUCT((Curves!$B$4:$AO$4)*(COLUMN(Curves!$B$4:$AO$4)-COLUMN(Curves!$B$4)+1&lt;=55-Projects!$C$10+1))),0)</f>
        <v>0</v>
      </c>
      <c r="BF13" s="289" t="n">
        <f aca="false">IF(AND(Projects!$G$10="Yes",Projects!$F$10="Yes",56&gt;=Projects!$C$10,56&lt;Projects!$C$10+Projects!$D$10),Projects!$B$10*(1-SUMPRODUCT((Curves!$B$4:$AO$4)*(COLUMN(Curves!$B$4:$AO$4)-COLUMN(Curves!$B$4)+1&lt;=56-Projects!$C$10+1))),0)</f>
        <v>0</v>
      </c>
      <c r="BG13" s="289" t="n">
        <f aca="false">IF(AND(Projects!$G$10="Yes",Projects!$F$10="Yes",57&gt;=Projects!$C$10,57&lt;Projects!$C$10+Projects!$D$10),Projects!$B$10*(1-SUMPRODUCT((Curves!$B$4:$AO$4)*(COLUMN(Curves!$B$4:$AO$4)-COLUMN(Curves!$B$4)+1&lt;=57-Projects!$C$10+1))),0)</f>
        <v>0</v>
      </c>
      <c r="BH13" s="289" t="n">
        <f aca="false">IF(AND(Projects!$G$10="Yes",Projects!$F$10="Yes",58&gt;=Projects!$C$10,58&lt;Projects!$C$10+Projects!$D$10),Projects!$B$10*(1-SUMPRODUCT((Curves!$B$4:$AO$4)*(COLUMN(Curves!$B$4:$AO$4)-COLUMN(Curves!$B$4)+1&lt;=58-Projects!$C$10+1))),0)</f>
        <v>0</v>
      </c>
      <c r="BI13" s="289" t="n">
        <f aca="false">IF(AND(Projects!$G$10="Yes",Projects!$F$10="Yes",59&gt;=Projects!$C$10,59&lt;Projects!$C$10+Projects!$D$10),Projects!$B$10*(1-SUMPRODUCT((Curves!$B$4:$AO$4)*(COLUMN(Curves!$B$4:$AO$4)-COLUMN(Curves!$B$4)+1&lt;=59-Projects!$C$10+1))),0)</f>
        <v>0</v>
      </c>
      <c r="BJ13" s="289" t="n">
        <f aca="false">IF(AND(Projects!$G$10="Yes",Projects!$F$10="Yes",60&gt;=Projects!$C$10,60&lt;Projects!$C$10+Projects!$D$10),Projects!$B$10*(1-SUMPRODUCT((Curves!$B$4:$AO$4)*(COLUMN(Curves!$B$4:$AO$4)-COLUMN(Curves!$B$4)+1&lt;=60-Projects!$C$10+1))),0)</f>
        <v>0</v>
      </c>
      <c r="BK13" s="289" t="n">
        <f aca="false">IF(AND(Projects!$G$10="Yes",Projects!$F$10="Yes",61&gt;=Projects!$C$10,61&lt;Projects!$C$10+Projects!$D$10),Projects!$B$10*(1-SUMPRODUCT((Curves!$B$4:$AO$4)*(COLUMN(Curves!$B$4:$AO$4)-COLUMN(Curves!$B$4)+1&lt;=61-Projects!$C$10+1))),0)</f>
        <v>0</v>
      </c>
      <c r="BL13" s="289" t="n">
        <f aca="false">IF(AND(Projects!$G$10="Yes",Projects!$F$10="Yes",62&gt;=Projects!$C$10,62&lt;Projects!$C$10+Projects!$D$10),Projects!$B$10*(1-SUMPRODUCT((Curves!$B$4:$AO$4)*(COLUMN(Curves!$B$4:$AO$4)-COLUMN(Curves!$B$4)+1&lt;=62-Projects!$C$10+1))),0)</f>
        <v>0</v>
      </c>
      <c r="BM13" s="289" t="n">
        <f aca="false">IF(AND(Projects!$G$10="Yes",Projects!$F$10="Yes",63&gt;=Projects!$C$10,63&lt;Projects!$C$10+Projects!$D$10),Projects!$B$10*(1-SUMPRODUCT((Curves!$B$4:$AO$4)*(COLUMN(Curves!$B$4:$AO$4)-COLUMN(Curves!$B$4)+1&lt;=63-Projects!$C$10+1))),0)</f>
        <v>0</v>
      </c>
      <c r="BN13" s="289" t="n">
        <f aca="false">IF(AND(Projects!$G$10="Yes",Projects!$F$10="Yes",64&gt;=Projects!$C$10,64&lt;Projects!$C$10+Projects!$D$10),Projects!$B$10*(1-SUMPRODUCT((Curves!$B$4:$AO$4)*(COLUMN(Curves!$B$4:$AO$4)-COLUMN(Curves!$B$4)+1&lt;=64-Projects!$C$10+1))),0)</f>
        <v>0</v>
      </c>
      <c r="BO13" s="289" t="n">
        <f aca="false">IF(AND(Projects!$G$10="Yes",Projects!$F$10="Yes",65&gt;=Projects!$C$10,65&lt;Projects!$C$10+Projects!$D$10),Projects!$B$10*(1-SUMPRODUCT((Curves!$B$4:$AO$4)*(COLUMN(Curves!$B$4:$AO$4)-COLUMN(Curves!$B$4)+1&lt;=65-Projects!$C$10+1))),0)</f>
        <v>0</v>
      </c>
      <c r="BP13" s="289" t="n">
        <f aca="false">IF(AND(Projects!$G$10="Yes",Projects!$F$10="Yes",66&gt;=Projects!$C$10,66&lt;Projects!$C$10+Projects!$D$10),Projects!$B$10*(1-SUMPRODUCT((Curves!$B$4:$AO$4)*(COLUMN(Curves!$B$4:$AO$4)-COLUMN(Curves!$B$4)+1&lt;=66-Projects!$C$10+1))),0)</f>
        <v>0</v>
      </c>
      <c r="BQ13" s="289" t="n">
        <f aca="false">IF(AND(Projects!$G$10="Yes",Projects!$F$10="Yes",67&gt;=Projects!$C$10,67&lt;Projects!$C$10+Projects!$D$10),Projects!$B$10*(1-SUMPRODUCT((Curves!$B$4:$AO$4)*(COLUMN(Curves!$B$4:$AO$4)-COLUMN(Curves!$B$4)+1&lt;=67-Projects!$C$10+1))),0)</f>
        <v>0</v>
      </c>
      <c r="BR13" s="289" t="n">
        <f aca="false">IF(AND(Projects!$G$10="Yes",Projects!$F$10="Yes",68&gt;=Projects!$C$10,68&lt;Projects!$C$10+Projects!$D$10),Projects!$B$10*(1-SUMPRODUCT((Curves!$B$4:$AO$4)*(COLUMN(Curves!$B$4:$AO$4)-COLUMN(Curves!$B$4)+1&lt;=68-Projects!$C$10+1))),0)</f>
        <v>0</v>
      </c>
      <c r="BS13" s="289" t="n">
        <f aca="false">IF(AND(Projects!$G$10="Yes",Projects!$F$10="Yes",69&gt;=Projects!$C$10,69&lt;Projects!$C$10+Projects!$D$10),Projects!$B$10*(1-SUMPRODUCT((Curves!$B$4:$AO$4)*(COLUMN(Curves!$B$4:$AO$4)-COLUMN(Curves!$B$4)+1&lt;=69-Projects!$C$10+1))),0)</f>
        <v>0</v>
      </c>
      <c r="BT13" s="289" t="n">
        <f aca="false">IF(AND(Projects!$G$10="Yes",Projects!$F$10="Yes",70&gt;=Projects!$C$10,70&lt;Projects!$C$10+Projects!$D$10),Projects!$B$10*(1-SUMPRODUCT((Curves!$B$4:$AO$4)*(COLUMN(Curves!$B$4:$AO$4)-COLUMN(Curves!$B$4)+1&lt;=70-Projects!$C$10+1))),0)</f>
        <v>0</v>
      </c>
      <c r="BU13" s="289" t="n">
        <f aca="false">IF(AND(Projects!$G$10="Yes",Projects!$F$10="Yes",71&gt;=Projects!$C$10,71&lt;Projects!$C$10+Projects!$D$10),Projects!$B$10*(1-SUMPRODUCT((Curves!$B$4:$AO$4)*(COLUMN(Curves!$B$4:$AO$4)-COLUMN(Curves!$B$4)+1&lt;=71-Projects!$C$10+1))),0)</f>
        <v>0</v>
      </c>
      <c r="BV13" s="289" t="n">
        <f aca="false">IF(AND(Projects!$G$10="Yes",Projects!$F$10="Yes",72&gt;=Projects!$C$10,72&lt;Projects!$C$10+Projects!$D$10),Projects!$B$10*(1-SUMPRODUCT((Curves!$B$4:$AO$4)*(COLUMN(Curves!$B$4:$AO$4)-COLUMN(Curves!$B$4)+1&lt;=72-Projects!$C$10+1))),0)</f>
        <v>0</v>
      </c>
      <c r="BW13" s="289" t="n">
        <f aca="false">IF(AND(Projects!$G$10="Yes",Projects!$F$10="Yes",73&gt;=Projects!$C$10,73&lt;Projects!$C$10+Projects!$D$10),Projects!$B$10*(1-SUMPRODUCT((Curves!$B$4:$AO$4)*(COLUMN(Curves!$B$4:$AO$4)-COLUMN(Curves!$B$4)+1&lt;=73-Projects!$C$10+1))),0)</f>
        <v>0</v>
      </c>
      <c r="BX13" s="289" t="n">
        <f aca="false">IF(AND(Projects!$G$10="Yes",Projects!$F$10="Yes",74&gt;=Projects!$C$10,74&lt;Projects!$C$10+Projects!$D$10),Projects!$B$10*(1-SUMPRODUCT((Curves!$B$4:$AO$4)*(COLUMN(Curves!$B$4:$AO$4)-COLUMN(Curves!$B$4)+1&lt;=74-Projects!$C$10+1))),0)</f>
        <v>0</v>
      </c>
      <c r="BY13" s="289" t="n">
        <f aca="false">IF(AND(Projects!$G$10="Yes",Projects!$F$10="Yes",75&gt;=Projects!$C$10,75&lt;Projects!$C$10+Projects!$D$10),Projects!$B$10*(1-SUMPRODUCT((Curves!$B$4:$AO$4)*(COLUMN(Curves!$B$4:$AO$4)-COLUMN(Curves!$B$4)+1&lt;=75-Projects!$C$10+1))),0)</f>
        <v>0</v>
      </c>
      <c r="BZ13" s="289" t="n">
        <f aca="false">IF(AND(Projects!$G$10="Yes",Projects!$F$10="Yes",76&gt;=Projects!$C$10,76&lt;Projects!$C$10+Projects!$D$10),Projects!$B$10*(1-SUMPRODUCT((Curves!$B$4:$AO$4)*(COLUMN(Curves!$B$4:$AO$4)-COLUMN(Curves!$B$4)+1&lt;=76-Projects!$C$10+1))),0)</f>
        <v>0</v>
      </c>
      <c r="CA13" s="289" t="n">
        <f aca="false">IF(AND(Projects!$G$10="Yes",Projects!$F$10="Yes",77&gt;=Projects!$C$10,77&lt;Projects!$C$10+Projects!$D$10),Projects!$B$10*(1-SUMPRODUCT((Curves!$B$4:$AO$4)*(COLUMN(Curves!$B$4:$AO$4)-COLUMN(Curves!$B$4)+1&lt;=77-Projects!$C$10+1))),0)</f>
        <v>0</v>
      </c>
      <c r="CB13" s="289" t="n">
        <f aca="false">IF(AND(Projects!$G$10="Yes",Projects!$F$10="Yes",78&gt;=Projects!$C$10,78&lt;Projects!$C$10+Projects!$D$10),Projects!$B$10*(1-SUMPRODUCT((Curves!$B$4:$AO$4)*(COLUMN(Curves!$B$4:$AO$4)-COLUMN(Curves!$B$4)+1&lt;=78-Projects!$C$10+1))),0)</f>
        <v>0</v>
      </c>
      <c r="CC13" s="289" t="n">
        <f aca="false">IF(AND(Projects!$G$10="Yes",Projects!$F$10="Yes",79&gt;=Projects!$C$10,79&lt;Projects!$C$10+Projects!$D$10),Projects!$B$10*(1-SUMPRODUCT((Curves!$B$4:$AO$4)*(COLUMN(Curves!$B$4:$AO$4)-COLUMN(Curves!$B$4)+1&lt;=79-Projects!$C$10+1))),0)</f>
        <v>0</v>
      </c>
      <c r="CD13" s="289" t="n">
        <f aca="false">IF(AND(Projects!$G$10="Yes",Projects!$F$10="Yes",80&gt;=Projects!$C$10,80&lt;Projects!$C$10+Projects!$D$10),Projects!$B$10*(1-SUMPRODUCT((Curves!$B$4:$AO$4)*(COLUMN(Curves!$B$4:$AO$4)-COLUMN(Curves!$B$4)+1&lt;=80-Projects!$C$10+1))),0)</f>
        <v>0</v>
      </c>
      <c r="CE13" s="289" t="n">
        <f aca="false">IF(AND(Projects!$G$10="Yes",Projects!$F$10="Yes",81&gt;=Projects!$C$10,81&lt;Projects!$C$10+Projects!$D$10),Projects!$B$10*(1-SUMPRODUCT((Curves!$B$4:$AO$4)*(COLUMN(Curves!$B$4:$AO$4)-COLUMN(Curves!$B$4)+1&lt;=81-Projects!$C$10+1))),0)</f>
        <v>0</v>
      </c>
      <c r="CF13" s="289" t="n">
        <f aca="false">IF(AND(Projects!$G$10="Yes",Projects!$F$10="Yes",82&gt;=Projects!$C$10,82&lt;Projects!$C$10+Projects!$D$10),Projects!$B$10*(1-SUMPRODUCT((Curves!$B$4:$AO$4)*(COLUMN(Curves!$B$4:$AO$4)-COLUMN(Curves!$B$4)+1&lt;=82-Projects!$C$10+1))),0)</f>
        <v>0</v>
      </c>
      <c r="CG13" s="289" t="n">
        <f aca="false">IF(AND(Projects!$G$10="Yes",Projects!$F$10="Yes",83&gt;=Projects!$C$10,83&lt;Projects!$C$10+Projects!$D$10),Projects!$B$10*(1-SUMPRODUCT((Curves!$B$4:$AO$4)*(COLUMN(Curves!$B$4:$AO$4)-COLUMN(Curves!$B$4)+1&lt;=83-Projects!$C$10+1))),0)</f>
        <v>0</v>
      </c>
      <c r="CH13" s="289" t="n">
        <f aca="false">IF(AND(Projects!$G$10="Yes",Projects!$F$10="Yes",84&gt;=Projects!$C$10,84&lt;Projects!$C$10+Projects!$D$10),Projects!$B$10*(1-SUMPRODUCT((Curves!$B$4:$AO$4)*(COLUMN(Curves!$B$4:$AO$4)-COLUMN(Curves!$B$4)+1&lt;=84-Projects!$C$10+1))),0)</f>
        <v>0</v>
      </c>
      <c r="CI13" s="289" t="n">
        <f aca="false">IF(AND(Projects!$G$10="Yes",Projects!$F$10="Yes",85&gt;=Projects!$C$10,85&lt;Projects!$C$10+Projects!$D$10),Projects!$B$10*(1-SUMPRODUCT((Curves!$B$4:$AO$4)*(COLUMN(Curves!$B$4:$AO$4)-COLUMN(Curves!$B$4)+1&lt;=85-Projects!$C$10+1))),0)</f>
        <v>0</v>
      </c>
      <c r="CJ13" s="289" t="n">
        <f aca="false">IF(AND(Projects!$G$10="Yes",Projects!$F$10="Yes",86&gt;=Projects!$C$10,86&lt;Projects!$C$10+Projects!$D$10),Projects!$B$10*(1-SUMPRODUCT((Curves!$B$4:$AO$4)*(COLUMN(Curves!$B$4:$AO$4)-COLUMN(Curves!$B$4)+1&lt;=86-Projects!$C$10+1))),0)</f>
        <v>0</v>
      </c>
      <c r="CK13" s="289" t="n">
        <f aca="false">IF(AND(Projects!$G$10="Yes",Projects!$F$10="Yes",87&gt;=Projects!$C$10,87&lt;Projects!$C$10+Projects!$D$10),Projects!$B$10*(1-SUMPRODUCT((Curves!$B$4:$AO$4)*(COLUMN(Curves!$B$4:$AO$4)-COLUMN(Curves!$B$4)+1&lt;=87-Projects!$C$10+1))),0)</f>
        <v>0</v>
      </c>
      <c r="CL13" s="289" t="n">
        <f aca="false">IF(AND(Projects!$G$10="Yes",Projects!$F$10="Yes",88&gt;=Projects!$C$10,88&lt;Projects!$C$10+Projects!$D$10),Projects!$B$10*(1-SUMPRODUCT((Curves!$B$4:$AO$4)*(COLUMN(Curves!$B$4:$AO$4)-COLUMN(Curves!$B$4)+1&lt;=88-Projects!$C$10+1))),0)</f>
        <v>0</v>
      </c>
      <c r="CM13" s="289" t="n">
        <f aca="false">IF(AND(Projects!$G$10="Yes",Projects!$F$10="Yes",89&gt;=Projects!$C$10,89&lt;Projects!$C$10+Projects!$D$10),Projects!$B$10*(1-SUMPRODUCT((Curves!$B$4:$AO$4)*(COLUMN(Curves!$B$4:$AO$4)-COLUMN(Curves!$B$4)+1&lt;=89-Projects!$C$10+1))),0)</f>
        <v>0</v>
      </c>
      <c r="CN13" s="289" t="n">
        <f aca="false">IF(AND(Projects!$G$10="Yes",Projects!$F$10="Yes",90&gt;=Projects!$C$10,90&lt;Projects!$C$10+Projects!$D$10),Projects!$B$10*(1-SUMPRODUCT((Curves!$B$4:$AO$4)*(COLUMN(Curves!$B$4:$AO$4)-COLUMN(Curves!$B$4)+1&lt;=90-Projects!$C$10+1))),0)</f>
        <v>0</v>
      </c>
      <c r="CO13" s="289" t="n">
        <f aca="false">IF(AND(Projects!$G$10="Yes",Projects!$F$10="Yes",91&gt;=Projects!$C$10,91&lt;Projects!$C$10+Projects!$D$10),Projects!$B$10*(1-SUMPRODUCT((Curves!$B$4:$AO$4)*(COLUMN(Curves!$B$4:$AO$4)-COLUMN(Curves!$B$4)+1&lt;=91-Projects!$C$10+1))),0)</f>
        <v>0</v>
      </c>
      <c r="CP13" s="289" t="n">
        <f aca="false">IF(AND(Projects!$G$10="Yes",Projects!$F$10="Yes",92&gt;=Projects!$C$10,92&lt;Projects!$C$10+Projects!$D$10),Projects!$B$10*(1-SUMPRODUCT((Curves!$B$4:$AO$4)*(COLUMN(Curves!$B$4:$AO$4)-COLUMN(Curves!$B$4)+1&lt;=92-Projects!$C$10+1))),0)</f>
        <v>0</v>
      </c>
      <c r="CQ13" s="28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9" t="n">
        <f aca="false">IF(AND(Projects!$G$13="Yes",Projects!$F$13="Yes",1&gt;=Projects!$C$13,1&lt;Projects!$C$13+Projects!$D$13),Projects!$B$13*(1-SUMPRODUCT((Curves!$B$2:$AO$2)*(COLUMN(Curves!$B$2:$AO$2)-COLUMN(Curves!$B$2)+1&lt;=1-Projects!$C$13+1))),0)</f>
        <v>0</v>
      </c>
      <c r="D14" s="289" t="n">
        <f aca="false">IF(AND(Projects!$G$13="Yes",Projects!$F$13="Yes",2&gt;=Projects!$C$13,2&lt;Projects!$C$13+Projects!$D$13),Projects!$B$13*(1-SUMPRODUCT((Curves!$B$2:$AO$2)*(COLUMN(Curves!$B$2:$AO$2)-COLUMN(Curves!$B$2)+1&lt;=2-Projects!$C$13+1))),0)</f>
        <v>0</v>
      </c>
      <c r="E14" s="289" t="n">
        <f aca="false">IF(AND(Projects!$G$13="Yes",Projects!$F$13="Yes",3&gt;=Projects!$C$13,3&lt;Projects!$C$13+Projects!$D$13),Projects!$B$13*(1-SUMPRODUCT((Curves!$B$2:$AO$2)*(COLUMN(Curves!$B$2:$AO$2)-COLUMN(Curves!$B$2)+1&lt;=3-Projects!$C$13+1))),0)</f>
        <v>0</v>
      </c>
      <c r="F14" s="289" t="n">
        <f aca="false">IF(AND(Projects!$G$13="Yes",Projects!$F$13="Yes",4&gt;=Projects!$C$13,4&lt;Projects!$C$13+Projects!$D$13),Projects!$B$13*(1-SUMPRODUCT((Curves!$B$2:$AO$2)*(COLUMN(Curves!$B$2:$AO$2)-COLUMN(Curves!$B$2)+1&lt;=4-Projects!$C$13+1))),0)</f>
        <v>0</v>
      </c>
      <c r="G14" s="289" t="n">
        <f aca="false">IF(AND(Projects!$G$13="Yes",Projects!$F$13="Yes",5&gt;=Projects!$C$13,5&lt;Projects!$C$13+Projects!$D$13),Projects!$B$13*(1-SUMPRODUCT((Curves!$B$2:$AO$2)*(COLUMN(Curves!$B$2:$AO$2)-COLUMN(Curves!$B$2)+1&lt;=5-Projects!$C$13+1))),0)</f>
        <v>0</v>
      </c>
      <c r="H14" s="289" t="n">
        <f aca="false">IF(AND(Projects!$G$13="Yes",Projects!$F$13="Yes",6&gt;=Projects!$C$13,6&lt;Projects!$C$13+Projects!$D$13),Projects!$B$13*(1-SUMPRODUCT((Curves!$B$2:$AO$2)*(COLUMN(Curves!$B$2:$AO$2)-COLUMN(Curves!$B$2)+1&lt;=6-Projects!$C$13+1))),0)</f>
        <v>0</v>
      </c>
      <c r="I14" s="289" t="n">
        <f aca="false">IF(AND(Projects!$G$13="Yes",Projects!$F$13="Yes",7&gt;=Projects!$C$13,7&lt;Projects!$C$13+Projects!$D$13),Projects!$B$13*(1-SUMPRODUCT((Curves!$B$2:$AO$2)*(COLUMN(Curves!$B$2:$AO$2)-COLUMN(Curves!$B$2)+1&lt;=7-Projects!$C$13+1))),0)</f>
        <v>0</v>
      </c>
      <c r="J14" s="289" t="n">
        <f aca="false">IF(AND(Projects!$G$13="Yes",Projects!$F$13="Yes",8&gt;=Projects!$C$13,8&lt;Projects!$C$13+Projects!$D$13),Projects!$B$13*(1-SUMPRODUCT((Curves!$B$2:$AO$2)*(COLUMN(Curves!$B$2:$AO$2)-COLUMN(Curves!$B$2)+1&lt;=8-Projects!$C$13+1))),0)</f>
        <v>0</v>
      </c>
      <c r="K14" s="289" t="n">
        <f aca="false">IF(AND(Projects!$G$13="Yes",Projects!$F$13="Yes",9&gt;=Projects!$C$13,9&lt;Projects!$C$13+Projects!$D$13),Projects!$B$13*(1-SUMPRODUCT((Curves!$B$2:$AO$2)*(COLUMN(Curves!$B$2:$AO$2)-COLUMN(Curves!$B$2)+1&lt;=9-Projects!$C$13+1))),0)</f>
        <v>0</v>
      </c>
      <c r="L14" s="289" t="n">
        <f aca="false">IF(AND(Projects!$G$13="Yes",Projects!$F$13="Yes",10&gt;=Projects!$C$13,10&lt;Projects!$C$13+Projects!$D$13),Projects!$B$13*(1-SUMPRODUCT((Curves!$B$2:$AO$2)*(COLUMN(Curves!$B$2:$AO$2)-COLUMN(Curves!$B$2)+1&lt;=10-Projects!$C$13+1))),0)</f>
        <v>0</v>
      </c>
      <c r="M14" s="289" t="n">
        <f aca="false">IF(AND(Projects!$G$13="Yes",Projects!$F$13="Yes",11&gt;=Projects!$C$13,11&lt;Projects!$C$13+Projects!$D$13),Projects!$B$13*(1-SUMPRODUCT((Curves!$B$2:$AO$2)*(COLUMN(Curves!$B$2:$AO$2)-COLUMN(Curves!$B$2)+1&lt;=11-Projects!$C$13+1))),0)</f>
        <v>0</v>
      </c>
      <c r="N14" s="289" t="n">
        <f aca="false">IF(AND(Projects!$G$13="Yes",Projects!$F$13="Yes",12&gt;=Projects!$C$13,12&lt;Projects!$C$13+Projects!$D$13),Projects!$B$13*(1-SUMPRODUCT((Curves!$B$2:$AO$2)*(COLUMN(Curves!$B$2:$AO$2)-COLUMN(Curves!$B$2)+1&lt;=12-Projects!$C$13+1))),0)</f>
        <v>0</v>
      </c>
      <c r="O14" s="289" t="n">
        <f aca="false">IF(AND(Projects!$G$13="Yes",Projects!$F$13="Yes",13&gt;=Projects!$C$13,13&lt;Projects!$C$13+Projects!$D$13),Projects!$B$13*(1-SUMPRODUCT((Curves!$B$2:$AO$2)*(COLUMN(Curves!$B$2:$AO$2)-COLUMN(Curves!$B$2)+1&lt;=13-Projects!$C$13+1))),0)</f>
        <v>0</v>
      </c>
      <c r="P14" s="289" t="n">
        <f aca="false">IF(AND(Projects!$G$13="Yes",Projects!$F$13="Yes",14&gt;=Projects!$C$13,14&lt;Projects!$C$13+Projects!$D$13),Projects!$B$13*(1-SUMPRODUCT((Curves!$B$2:$AO$2)*(COLUMN(Curves!$B$2:$AO$2)-COLUMN(Curves!$B$2)+1&lt;=14-Projects!$C$13+1))),0)</f>
        <v>0</v>
      </c>
      <c r="Q14" s="289" t="n">
        <f aca="false">IF(AND(Projects!$G$13="Yes",Projects!$F$13="Yes",15&gt;=Projects!$C$13,15&lt;Projects!$C$13+Projects!$D$13),Projects!$B$13*(1-SUMPRODUCT((Curves!$B$2:$AO$2)*(COLUMN(Curves!$B$2:$AO$2)-COLUMN(Curves!$B$2)+1&lt;=15-Projects!$C$13+1))),0)</f>
        <v>0</v>
      </c>
      <c r="R14" s="289" t="n">
        <f aca="false">IF(AND(Projects!$G$13="Yes",Projects!$F$13="Yes",16&gt;=Projects!$C$13,16&lt;Projects!$C$13+Projects!$D$13),Projects!$B$13*(1-SUMPRODUCT((Curves!$B$2:$AO$2)*(COLUMN(Curves!$B$2:$AO$2)-COLUMN(Curves!$B$2)+1&lt;=16-Projects!$C$13+1))),0)</f>
        <v>0</v>
      </c>
      <c r="S14" s="289" t="n">
        <f aca="false">IF(AND(Projects!$G$13="Yes",Projects!$F$13="Yes",17&gt;=Projects!$C$13,17&lt;Projects!$C$13+Projects!$D$13),Projects!$B$13*(1-SUMPRODUCT((Curves!$B$2:$AO$2)*(COLUMN(Curves!$B$2:$AO$2)-COLUMN(Curves!$B$2)+1&lt;=17-Projects!$C$13+1))),0)</f>
        <v>0</v>
      </c>
      <c r="T14" s="289" t="n">
        <f aca="false">IF(AND(Projects!$G$13="Yes",Projects!$F$13="Yes",18&gt;=Projects!$C$13,18&lt;Projects!$C$13+Projects!$D$13),Projects!$B$13*(1-SUMPRODUCT((Curves!$B$2:$AO$2)*(COLUMN(Curves!$B$2:$AO$2)-COLUMN(Curves!$B$2)+1&lt;=18-Projects!$C$13+1))),0)</f>
        <v>0</v>
      </c>
      <c r="U14" s="289" t="n">
        <f aca="false">IF(AND(Projects!$G$13="Yes",Projects!$F$13="Yes",19&gt;=Projects!$C$13,19&lt;Projects!$C$13+Projects!$D$13),Projects!$B$13*(1-SUMPRODUCT((Curves!$B$2:$AO$2)*(COLUMN(Curves!$B$2:$AO$2)-COLUMN(Curves!$B$2)+1&lt;=19-Projects!$C$13+1))),0)</f>
        <v>0</v>
      </c>
      <c r="V14" s="289" t="n">
        <f aca="false">IF(AND(Projects!$G$13="Yes",Projects!$F$13="Yes",20&gt;=Projects!$C$13,20&lt;Projects!$C$13+Projects!$D$13),Projects!$B$13*(1-SUMPRODUCT((Curves!$B$2:$AO$2)*(COLUMN(Curves!$B$2:$AO$2)-COLUMN(Curves!$B$2)+1&lt;=20-Projects!$C$13+1))),0)</f>
        <v>0</v>
      </c>
      <c r="W14" s="289" t="n">
        <f aca="false">IF(AND(Projects!$G$13="Yes",Projects!$F$13="Yes",21&gt;=Projects!$C$13,21&lt;Projects!$C$13+Projects!$D$13),Projects!$B$13*(1-SUMPRODUCT((Curves!$B$2:$AO$2)*(COLUMN(Curves!$B$2:$AO$2)-COLUMN(Curves!$B$2)+1&lt;=21-Projects!$C$13+1))),0)</f>
        <v>0</v>
      </c>
      <c r="X14" s="289" t="n">
        <f aca="false">IF(AND(Projects!$G$13="Yes",Projects!$F$13="Yes",22&gt;=Projects!$C$13,22&lt;Projects!$C$13+Projects!$D$13),Projects!$B$13*(1-SUMPRODUCT((Curves!$B$2:$AO$2)*(COLUMN(Curves!$B$2:$AO$2)-COLUMN(Curves!$B$2)+1&lt;=22-Projects!$C$13+1))),0)</f>
        <v>0</v>
      </c>
      <c r="Y14" s="289" t="n">
        <f aca="false">IF(AND(Projects!$G$13="Yes",Projects!$F$13="Yes",23&gt;=Projects!$C$13,23&lt;Projects!$C$13+Projects!$D$13),Projects!$B$13*(1-SUMPRODUCT((Curves!$B$2:$AO$2)*(COLUMN(Curves!$B$2:$AO$2)-COLUMN(Curves!$B$2)+1&lt;=23-Projects!$C$13+1))),0)</f>
        <v>0</v>
      </c>
      <c r="Z14" s="289" t="n">
        <f aca="false">IF(AND(Projects!$G$13="Yes",Projects!$F$13="Yes",24&gt;=Projects!$C$13,24&lt;Projects!$C$13+Projects!$D$13),Projects!$B$13*(1-SUMPRODUCT((Curves!$B$2:$AO$2)*(COLUMN(Curves!$B$2:$AO$2)-COLUMN(Curves!$B$2)+1&lt;=24-Projects!$C$13+1))),0)</f>
        <v>0</v>
      </c>
      <c r="AA14" s="289" t="n">
        <f aca="false">IF(AND(Projects!$G$13="Yes",Projects!$F$13="Yes",25&gt;=Projects!$C$13,25&lt;Projects!$C$13+Projects!$D$13),Projects!$B$13*(1-SUMPRODUCT((Curves!$B$2:$AO$2)*(COLUMN(Curves!$B$2:$AO$2)-COLUMN(Curves!$B$2)+1&lt;=25-Projects!$C$13+1))),0)</f>
        <v>0</v>
      </c>
      <c r="AB14" s="289" t="n">
        <f aca="false">IF(AND(Projects!$G$13="Yes",Projects!$F$13="Yes",26&gt;=Projects!$C$13,26&lt;Projects!$C$13+Projects!$D$13),Projects!$B$13*(1-SUMPRODUCT((Curves!$B$2:$AO$2)*(COLUMN(Curves!$B$2:$AO$2)-COLUMN(Curves!$B$2)+1&lt;=26-Projects!$C$13+1))),0)</f>
        <v>0</v>
      </c>
      <c r="AC14" s="289" t="n">
        <f aca="false">IF(AND(Projects!$G$13="Yes",Projects!$F$13="Yes",27&gt;=Projects!$C$13,27&lt;Projects!$C$13+Projects!$D$13),Projects!$B$13*(1-SUMPRODUCT((Curves!$B$2:$AO$2)*(COLUMN(Curves!$B$2:$AO$2)-COLUMN(Curves!$B$2)+1&lt;=27-Projects!$C$13+1))),0)</f>
        <v>0</v>
      </c>
      <c r="AD14" s="289" t="n">
        <f aca="false">IF(AND(Projects!$G$13="Yes",Projects!$F$13="Yes",28&gt;=Projects!$C$13,28&lt;Projects!$C$13+Projects!$D$13),Projects!$B$13*(1-SUMPRODUCT((Curves!$B$2:$AO$2)*(COLUMN(Curves!$B$2:$AO$2)-COLUMN(Curves!$B$2)+1&lt;=28-Projects!$C$13+1))),0)</f>
        <v>0</v>
      </c>
      <c r="AE14" s="289" t="n">
        <f aca="false">IF(AND(Projects!$G$13="Yes",Projects!$F$13="Yes",29&gt;=Projects!$C$13,29&lt;Projects!$C$13+Projects!$D$13),Projects!$B$13*(1-SUMPRODUCT((Curves!$B$2:$AO$2)*(COLUMN(Curves!$B$2:$AO$2)-COLUMN(Curves!$B$2)+1&lt;=29-Projects!$C$13+1))),0)</f>
        <v>0</v>
      </c>
      <c r="AF14" s="289" t="n">
        <f aca="false">IF(AND(Projects!$G$13="Yes",Projects!$F$13="Yes",30&gt;=Projects!$C$13,30&lt;Projects!$C$13+Projects!$D$13),Projects!$B$13*(1-SUMPRODUCT((Curves!$B$2:$AO$2)*(COLUMN(Curves!$B$2:$AO$2)-COLUMN(Curves!$B$2)+1&lt;=30-Projects!$C$13+1))),0)</f>
        <v>0</v>
      </c>
      <c r="AG14" s="289" t="n">
        <f aca="false">IF(AND(Projects!$G$13="Yes",Projects!$F$13="Yes",31&gt;=Projects!$C$13,31&lt;Projects!$C$13+Projects!$D$13),Projects!$B$13*(1-SUMPRODUCT((Curves!$B$2:$AO$2)*(COLUMN(Curves!$B$2:$AO$2)-COLUMN(Curves!$B$2)+1&lt;=31-Projects!$C$13+1))),0)</f>
        <v>0</v>
      </c>
      <c r="AH14" s="289" t="n">
        <f aca="false">IF(AND(Projects!$G$13="Yes",Projects!$F$13="Yes",32&gt;=Projects!$C$13,32&lt;Projects!$C$13+Projects!$D$13),Projects!$B$13*(1-SUMPRODUCT((Curves!$B$2:$AO$2)*(COLUMN(Curves!$B$2:$AO$2)-COLUMN(Curves!$B$2)+1&lt;=32-Projects!$C$13+1))),0)</f>
        <v>0</v>
      </c>
      <c r="AI14" s="289" t="n">
        <f aca="false">IF(AND(Projects!$G$13="Yes",Projects!$F$13="Yes",33&gt;=Projects!$C$13,33&lt;Projects!$C$13+Projects!$D$13),Projects!$B$13*(1-SUMPRODUCT((Curves!$B$2:$AO$2)*(COLUMN(Curves!$B$2:$AO$2)-COLUMN(Curves!$B$2)+1&lt;=33-Projects!$C$13+1))),0)</f>
        <v>0</v>
      </c>
      <c r="AJ14" s="289" t="n">
        <f aca="false">IF(AND(Projects!$G$13="Yes",Projects!$F$13="Yes",34&gt;=Projects!$C$13,34&lt;Projects!$C$13+Projects!$D$13),Projects!$B$13*(1-SUMPRODUCT((Curves!$B$2:$AO$2)*(COLUMN(Curves!$B$2:$AO$2)-COLUMN(Curves!$B$2)+1&lt;=34-Projects!$C$13+1))),0)</f>
        <v>0</v>
      </c>
      <c r="AK14" s="289" t="n">
        <f aca="false">IF(AND(Projects!$G$13="Yes",Projects!$F$13="Yes",35&gt;=Projects!$C$13,35&lt;Projects!$C$13+Projects!$D$13),Projects!$B$13*(1-SUMPRODUCT((Curves!$B$2:$AO$2)*(COLUMN(Curves!$B$2:$AO$2)-COLUMN(Curves!$B$2)+1&lt;=35-Projects!$C$13+1))),0)</f>
        <v>0</v>
      </c>
      <c r="AL14" s="289" t="n">
        <f aca="false">IF(AND(Projects!$G$13="Yes",Projects!$F$13="Yes",36&gt;=Projects!$C$13,36&lt;Projects!$C$13+Projects!$D$13),Projects!$B$13*(1-SUMPRODUCT((Curves!$B$2:$AO$2)*(COLUMN(Curves!$B$2:$AO$2)-COLUMN(Curves!$B$2)+1&lt;=36-Projects!$C$13+1))),0)</f>
        <v>0</v>
      </c>
      <c r="AM14" s="289" t="n">
        <f aca="false">IF(AND(Projects!$G$13="Yes",Projects!$F$13="Yes",37&gt;=Projects!$C$13,37&lt;Projects!$C$13+Projects!$D$13),Projects!$B$13*(1-SUMPRODUCT((Curves!$B$2:$AO$2)*(COLUMN(Curves!$B$2:$AO$2)-COLUMN(Curves!$B$2)+1&lt;=37-Projects!$C$13+1))),0)</f>
        <v>0</v>
      </c>
      <c r="AN14" s="289" t="n">
        <f aca="false">IF(AND(Projects!$G$13="Yes",Projects!$F$13="Yes",38&gt;=Projects!$C$13,38&lt;Projects!$C$13+Projects!$D$13),Projects!$B$13*(1-SUMPRODUCT((Curves!$B$2:$AO$2)*(COLUMN(Curves!$B$2:$AO$2)-COLUMN(Curves!$B$2)+1&lt;=38-Projects!$C$13+1))),0)</f>
        <v>0</v>
      </c>
      <c r="AO14" s="289" t="n">
        <f aca="false">IF(AND(Projects!$G$13="Yes",Projects!$F$13="Yes",39&gt;=Projects!$C$13,39&lt;Projects!$C$13+Projects!$D$13),Projects!$B$13*(1-SUMPRODUCT((Curves!$B$2:$AO$2)*(COLUMN(Curves!$B$2:$AO$2)-COLUMN(Curves!$B$2)+1&lt;=39-Projects!$C$13+1))),0)</f>
        <v>0</v>
      </c>
      <c r="AP14" s="289" t="n">
        <f aca="false">IF(AND(Projects!$G$13="Yes",Projects!$F$13="Yes",40&gt;=Projects!$C$13,40&lt;Projects!$C$13+Projects!$D$13),Projects!$B$13*(1-SUMPRODUCT((Curves!$B$2:$AO$2)*(COLUMN(Curves!$B$2:$AO$2)-COLUMN(Curves!$B$2)+1&lt;=40-Projects!$C$13+1))),0)</f>
        <v>0</v>
      </c>
      <c r="AQ14" s="289" t="n">
        <f aca="false">IF(AND(Projects!$G$13="Yes",Projects!$F$13="Yes",41&gt;=Projects!$C$13,41&lt;Projects!$C$13+Projects!$D$13),Projects!$B$13*(1-SUMPRODUCT((Curves!$B$2:$AO$2)*(COLUMN(Curves!$B$2:$AO$2)-COLUMN(Curves!$B$2)+1&lt;=41-Projects!$C$13+1))),0)</f>
        <v>0</v>
      </c>
      <c r="AR14" s="289" t="n">
        <f aca="false">IF(AND(Projects!$G$13="Yes",Projects!$F$13="Yes",42&gt;=Projects!$C$13,42&lt;Projects!$C$13+Projects!$D$13),Projects!$B$13*(1-SUMPRODUCT((Curves!$B$2:$AO$2)*(COLUMN(Curves!$B$2:$AO$2)-COLUMN(Curves!$B$2)+1&lt;=42-Projects!$C$13+1))),0)</f>
        <v>0</v>
      </c>
      <c r="AS14" s="289" t="n">
        <f aca="false">IF(AND(Projects!$G$13="Yes",Projects!$F$13="Yes",43&gt;=Projects!$C$13,43&lt;Projects!$C$13+Projects!$D$13),Projects!$B$13*(1-SUMPRODUCT((Curves!$B$2:$AO$2)*(COLUMN(Curves!$B$2:$AO$2)-COLUMN(Curves!$B$2)+1&lt;=43-Projects!$C$13+1))),0)</f>
        <v>0</v>
      </c>
      <c r="AT14" s="289" t="n">
        <f aca="false">IF(AND(Projects!$G$13="Yes",Projects!$F$13="Yes",44&gt;=Projects!$C$13,44&lt;Projects!$C$13+Projects!$D$13),Projects!$B$13*(1-SUMPRODUCT((Curves!$B$2:$AO$2)*(COLUMN(Curves!$B$2:$AO$2)-COLUMN(Curves!$B$2)+1&lt;=44-Projects!$C$13+1))),0)</f>
        <v>0</v>
      </c>
      <c r="AU14" s="289" t="n">
        <f aca="false">IF(AND(Projects!$G$13="Yes",Projects!$F$13="Yes",45&gt;=Projects!$C$13,45&lt;Projects!$C$13+Projects!$D$13),Projects!$B$13*(1-SUMPRODUCT((Curves!$B$2:$AO$2)*(COLUMN(Curves!$B$2:$AO$2)-COLUMN(Curves!$B$2)+1&lt;=45-Projects!$C$13+1))),0)</f>
        <v>0</v>
      </c>
      <c r="AV14" s="289" t="n">
        <f aca="false">IF(AND(Projects!$G$13="Yes",Projects!$F$13="Yes",46&gt;=Projects!$C$13,46&lt;Projects!$C$13+Projects!$D$13),Projects!$B$13*(1-SUMPRODUCT((Curves!$B$2:$AO$2)*(COLUMN(Curves!$B$2:$AO$2)-COLUMN(Curves!$B$2)+1&lt;=46-Projects!$C$13+1))),0)</f>
        <v>0</v>
      </c>
      <c r="AW14" s="289" t="n">
        <f aca="false">IF(AND(Projects!$G$13="Yes",Projects!$F$13="Yes",47&gt;=Projects!$C$13,47&lt;Projects!$C$13+Projects!$D$13),Projects!$B$13*(1-SUMPRODUCT((Curves!$B$2:$AO$2)*(COLUMN(Curves!$B$2:$AO$2)-COLUMN(Curves!$B$2)+1&lt;=47-Projects!$C$13+1))),0)</f>
        <v>0</v>
      </c>
      <c r="AX14" s="289" t="n">
        <f aca="false">IF(AND(Projects!$G$13="Yes",Projects!$F$13="Yes",48&gt;=Projects!$C$13,48&lt;Projects!$C$13+Projects!$D$13),Projects!$B$13*(1-SUMPRODUCT((Curves!$B$2:$AO$2)*(COLUMN(Curves!$B$2:$AO$2)-COLUMN(Curves!$B$2)+1&lt;=48-Projects!$C$13+1))),0)</f>
        <v>0</v>
      </c>
      <c r="AY14" s="289" t="n">
        <f aca="false">IF(AND(Projects!$G$13="Yes",Projects!$F$13="Yes",49&gt;=Projects!$C$13,49&lt;Projects!$C$13+Projects!$D$13),Projects!$B$13*(1-SUMPRODUCT((Curves!$B$2:$AO$2)*(COLUMN(Curves!$B$2:$AO$2)-COLUMN(Curves!$B$2)+1&lt;=49-Projects!$C$13+1))),0)</f>
        <v>0</v>
      </c>
      <c r="AZ14" s="289" t="n">
        <f aca="false">IF(AND(Projects!$G$13="Yes",Projects!$F$13="Yes",50&gt;=Projects!$C$13,50&lt;Projects!$C$13+Projects!$D$13),Projects!$B$13*(1-SUMPRODUCT((Curves!$B$2:$AO$2)*(COLUMN(Curves!$B$2:$AO$2)-COLUMN(Curves!$B$2)+1&lt;=50-Projects!$C$13+1))),0)</f>
        <v>0</v>
      </c>
      <c r="BA14" s="289" t="n">
        <f aca="false">IF(AND(Projects!$G$13="Yes",Projects!$F$13="Yes",51&gt;=Projects!$C$13,51&lt;Projects!$C$13+Projects!$D$13),Projects!$B$13*(1-SUMPRODUCT((Curves!$B$2:$AO$2)*(COLUMN(Curves!$B$2:$AO$2)-COLUMN(Curves!$B$2)+1&lt;=51-Projects!$C$13+1))),0)</f>
        <v>0</v>
      </c>
      <c r="BB14" s="289" t="n">
        <f aca="false">IF(AND(Projects!$G$13="Yes",Projects!$F$13="Yes",52&gt;=Projects!$C$13,52&lt;Projects!$C$13+Projects!$D$13),Projects!$B$13*(1-SUMPRODUCT((Curves!$B$2:$AO$2)*(COLUMN(Curves!$B$2:$AO$2)-COLUMN(Curves!$B$2)+1&lt;=52-Projects!$C$13+1))),0)</f>
        <v>0</v>
      </c>
      <c r="BC14" s="289" t="n">
        <f aca="false">IF(AND(Projects!$G$13="Yes",Projects!$F$13="Yes",53&gt;=Projects!$C$13,53&lt;Projects!$C$13+Projects!$D$13),Projects!$B$13*(1-SUMPRODUCT((Curves!$B$2:$AO$2)*(COLUMN(Curves!$B$2:$AO$2)-COLUMN(Curves!$B$2)+1&lt;=53-Projects!$C$13+1))),0)</f>
        <v>0</v>
      </c>
      <c r="BD14" s="289" t="n">
        <f aca="false">IF(AND(Projects!$G$13="Yes",Projects!$F$13="Yes",54&gt;=Projects!$C$13,54&lt;Projects!$C$13+Projects!$D$13),Projects!$B$13*(1-SUMPRODUCT((Curves!$B$2:$AO$2)*(COLUMN(Curves!$B$2:$AO$2)-COLUMN(Curves!$B$2)+1&lt;=54-Projects!$C$13+1))),0)</f>
        <v>0</v>
      </c>
      <c r="BE14" s="289" t="n">
        <f aca="false">IF(AND(Projects!$G$13="Yes",Projects!$F$13="Yes",55&gt;=Projects!$C$13,55&lt;Projects!$C$13+Projects!$D$13),Projects!$B$13*(1-SUMPRODUCT((Curves!$B$2:$AO$2)*(COLUMN(Curves!$B$2:$AO$2)-COLUMN(Curves!$B$2)+1&lt;=55-Projects!$C$13+1))),0)</f>
        <v>0</v>
      </c>
      <c r="BF14" s="289" t="n">
        <f aca="false">IF(AND(Projects!$G$13="Yes",Projects!$F$13="Yes",56&gt;=Projects!$C$13,56&lt;Projects!$C$13+Projects!$D$13),Projects!$B$13*(1-SUMPRODUCT((Curves!$B$2:$AO$2)*(COLUMN(Curves!$B$2:$AO$2)-COLUMN(Curves!$B$2)+1&lt;=56-Projects!$C$13+1))),0)</f>
        <v>0</v>
      </c>
      <c r="BG14" s="289" t="n">
        <f aca="false">IF(AND(Projects!$G$13="Yes",Projects!$F$13="Yes",57&gt;=Projects!$C$13,57&lt;Projects!$C$13+Projects!$D$13),Projects!$B$13*(1-SUMPRODUCT((Curves!$B$2:$AO$2)*(COLUMN(Curves!$B$2:$AO$2)-COLUMN(Curves!$B$2)+1&lt;=57-Projects!$C$13+1))),0)</f>
        <v>0</v>
      </c>
      <c r="BH14" s="289" t="n">
        <f aca="false">IF(AND(Projects!$G$13="Yes",Projects!$F$13="Yes",58&gt;=Projects!$C$13,58&lt;Projects!$C$13+Projects!$D$13),Projects!$B$13*(1-SUMPRODUCT((Curves!$B$2:$AO$2)*(COLUMN(Curves!$B$2:$AO$2)-COLUMN(Curves!$B$2)+1&lt;=58-Projects!$C$13+1))),0)</f>
        <v>0</v>
      </c>
      <c r="BI14" s="289" t="n">
        <f aca="false">IF(AND(Projects!$G$13="Yes",Projects!$F$13="Yes",59&gt;=Projects!$C$13,59&lt;Projects!$C$13+Projects!$D$13),Projects!$B$13*(1-SUMPRODUCT((Curves!$B$2:$AO$2)*(COLUMN(Curves!$B$2:$AO$2)-COLUMN(Curves!$B$2)+1&lt;=59-Projects!$C$13+1))),0)</f>
        <v>0</v>
      </c>
      <c r="BJ14" s="289" t="n">
        <f aca="false">IF(AND(Projects!$G$13="Yes",Projects!$F$13="Yes",60&gt;=Projects!$C$13,60&lt;Projects!$C$13+Projects!$D$13),Projects!$B$13*(1-SUMPRODUCT((Curves!$B$2:$AO$2)*(COLUMN(Curves!$B$2:$AO$2)-COLUMN(Curves!$B$2)+1&lt;=60-Projects!$C$13+1))),0)</f>
        <v>0</v>
      </c>
      <c r="BK14" s="289" t="n">
        <f aca="false">IF(AND(Projects!$G$13="Yes",Projects!$F$13="Yes",61&gt;=Projects!$C$13,61&lt;Projects!$C$13+Projects!$D$13),Projects!$B$13*(1-SUMPRODUCT((Curves!$B$2:$AO$2)*(COLUMN(Curves!$B$2:$AO$2)-COLUMN(Curves!$B$2)+1&lt;=61-Projects!$C$13+1))),0)</f>
        <v>0</v>
      </c>
      <c r="BL14" s="289" t="n">
        <f aca="false">IF(AND(Projects!$G$13="Yes",Projects!$F$13="Yes",62&gt;=Projects!$C$13,62&lt;Projects!$C$13+Projects!$D$13),Projects!$B$13*(1-SUMPRODUCT((Curves!$B$2:$AO$2)*(COLUMN(Curves!$B$2:$AO$2)-COLUMN(Curves!$B$2)+1&lt;=62-Projects!$C$13+1))),0)</f>
        <v>0</v>
      </c>
      <c r="BM14" s="289" t="n">
        <f aca="false">IF(AND(Projects!$G$13="Yes",Projects!$F$13="Yes",63&gt;=Projects!$C$13,63&lt;Projects!$C$13+Projects!$D$13),Projects!$B$13*(1-SUMPRODUCT((Curves!$B$2:$AO$2)*(COLUMN(Curves!$B$2:$AO$2)-COLUMN(Curves!$B$2)+1&lt;=63-Projects!$C$13+1))),0)</f>
        <v>0</v>
      </c>
      <c r="BN14" s="289" t="n">
        <f aca="false">IF(AND(Projects!$G$13="Yes",Projects!$F$13="Yes",64&gt;=Projects!$C$13,64&lt;Projects!$C$13+Projects!$D$13),Projects!$B$13*(1-SUMPRODUCT((Curves!$B$2:$AO$2)*(COLUMN(Curves!$B$2:$AO$2)-COLUMN(Curves!$B$2)+1&lt;=64-Projects!$C$13+1))),0)</f>
        <v>0</v>
      </c>
      <c r="BO14" s="289" t="n">
        <f aca="false">IF(AND(Projects!$G$13="Yes",Projects!$F$13="Yes",65&gt;=Projects!$C$13,65&lt;Projects!$C$13+Projects!$D$13),Projects!$B$13*(1-SUMPRODUCT((Curves!$B$2:$AO$2)*(COLUMN(Curves!$B$2:$AO$2)-COLUMN(Curves!$B$2)+1&lt;=65-Projects!$C$13+1))),0)</f>
        <v>0</v>
      </c>
      <c r="BP14" s="289" t="n">
        <f aca="false">IF(AND(Projects!$G$13="Yes",Projects!$F$13="Yes",66&gt;=Projects!$C$13,66&lt;Projects!$C$13+Projects!$D$13),Projects!$B$13*(1-SUMPRODUCT((Curves!$B$2:$AO$2)*(COLUMN(Curves!$B$2:$AO$2)-COLUMN(Curves!$B$2)+1&lt;=66-Projects!$C$13+1))),0)</f>
        <v>0</v>
      </c>
      <c r="BQ14" s="289" t="n">
        <f aca="false">IF(AND(Projects!$G$13="Yes",Projects!$F$13="Yes",67&gt;=Projects!$C$13,67&lt;Projects!$C$13+Projects!$D$13),Projects!$B$13*(1-SUMPRODUCT((Curves!$B$2:$AO$2)*(COLUMN(Curves!$B$2:$AO$2)-COLUMN(Curves!$B$2)+1&lt;=67-Projects!$C$13+1))),0)</f>
        <v>0</v>
      </c>
      <c r="BR14" s="289" t="n">
        <f aca="false">IF(AND(Projects!$G$13="Yes",Projects!$F$13="Yes",68&gt;=Projects!$C$13,68&lt;Projects!$C$13+Projects!$D$13),Projects!$B$13*(1-SUMPRODUCT((Curves!$B$2:$AO$2)*(COLUMN(Curves!$B$2:$AO$2)-COLUMN(Curves!$B$2)+1&lt;=68-Projects!$C$13+1))),0)</f>
        <v>0</v>
      </c>
      <c r="BS14" s="289" t="n">
        <f aca="false">IF(AND(Projects!$G$13="Yes",Projects!$F$13="Yes",69&gt;=Projects!$C$13,69&lt;Projects!$C$13+Projects!$D$13),Projects!$B$13*(1-SUMPRODUCT((Curves!$B$2:$AO$2)*(COLUMN(Curves!$B$2:$AO$2)-COLUMN(Curves!$B$2)+1&lt;=69-Projects!$C$13+1))),0)</f>
        <v>0</v>
      </c>
      <c r="BT14" s="289" t="n">
        <f aca="false">IF(AND(Projects!$G$13="Yes",Projects!$F$13="Yes",70&gt;=Projects!$C$13,70&lt;Projects!$C$13+Projects!$D$13),Projects!$B$13*(1-SUMPRODUCT((Curves!$B$2:$AO$2)*(COLUMN(Curves!$B$2:$AO$2)-COLUMN(Curves!$B$2)+1&lt;=70-Projects!$C$13+1))),0)</f>
        <v>0</v>
      </c>
      <c r="BU14" s="289" t="n">
        <f aca="false">IF(AND(Projects!$G$13="Yes",Projects!$F$13="Yes",71&gt;=Projects!$C$13,71&lt;Projects!$C$13+Projects!$D$13),Projects!$B$13*(1-SUMPRODUCT((Curves!$B$2:$AO$2)*(COLUMN(Curves!$B$2:$AO$2)-COLUMN(Curves!$B$2)+1&lt;=71-Projects!$C$13+1))),0)</f>
        <v>0</v>
      </c>
      <c r="BV14" s="289" t="n">
        <f aca="false">IF(AND(Projects!$G$13="Yes",Projects!$F$13="Yes",72&gt;=Projects!$C$13,72&lt;Projects!$C$13+Projects!$D$13),Projects!$B$13*(1-SUMPRODUCT((Curves!$B$2:$AO$2)*(COLUMN(Curves!$B$2:$AO$2)-COLUMN(Curves!$B$2)+1&lt;=72-Projects!$C$13+1))),0)</f>
        <v>0</v>
      </c>
      <c r="BW14" s="289" t="n">
        <f aca="false">IF(AND(Projects!$G$13="Yes",Projects!$F$13="Yes",73&gt;=Projects!$C$13,73&lt;Projects!$C$13+Projects!$D$13),Projects!$B$13*(1-SUMPRODUCT((Curves!$B$2:$AO$2)*(COLUMN(Curves!$B$2:$AO$2)-COLUMN(Curves!$B$2)+1&lt;=73-Projects!$C$13+1))),0)</f>
        <v>0</v>
      </c>
      <c r="BX14" s="289" t="n">
        <f aca="false">IF(AND(Projects!$G$13="Yes",Projects!$F$13="Yes",74&gt;=Projects!$C$13,74&lt;Projects!$C$13+Projects!$D$13),Projects!$B$13*(1-SUMPRODUCT((Curves!$B$2:$AO$2)*(COLUMN(Curves!$B$2:$AO$2)-COLUMN(Curves!$B$2)+1&lt;=74-Projects!$C$13+1))),0)</f>
        <v>0</v>
      </c>
      <c r="BY14" s="289" t="n">
        <f aca="false">IF(AND(Projects!$G$13="Yes",Projects!$F$13="Yes",75&gt;=Projects!$C$13,75&lt;Projects!$C$13+Projects!$D$13),Projects!$B$13*(1-SUMPRODUCT((Curves!$B$2:$AO$2)*(COLUMN(Curves!$B$2:$AO$2)-COLUMN(Curves!$B$2)+1&lt;=75-Projects!$C$13+1))),0)</f>
        <v>0</v>
      </c>
      <c r="BZ14" s="289" t="n">
        <f aca="false">IF(AND(Projects!$G$13="Yes",Projects!$F$13="Yes",76&gt;=Projects!$C$13,76&lt;Projects!$C$13+Projects!$D$13),Projects!$B$13*(1-SUMPRODUCT((Curves!$B$2:$AO$2)*(COLUMN(Curves!$B$2:$AO$2)-COLUMN(Curves!$B$2)+1&lt;=76-Projects!$C$13+1))),0)</f>
        <v>0</v>
      </c>
      <c r="CA14" s="289" t="n">
        <f aca="false">IF(AND(Projects!$G$13="Yes",Projects!$F$13="Yes",77&gt;=Projects!$C$13,77&lt;Projects!$C$13+Projects!$D$13),Projects!$B$13*(1-SUMPRODUCT((Curves!$B$2:$AO$2)*(COLUMN(Curves!$B$2:$AO$2)-COLUMN(Curves!$B$2)+1&lt;=77-Projects!$C$13+1))),0)</f>
        <v>0</v>
      </c>
      <c r="CB14" s="289" t="n">
        <f aca="false">IF(AND(Projects!$G$13="Yes",Projects!$F$13="Yes",78&gt;=Projects!$C$13,78&lt;Projects!$C$13+Projects!$D$13),Projects!$B$13*(1-SUMPRODUCT((Curves!$B$2:$AO$2)*(COLUMN(Curves!$B$2:$AO$2)-COLUMN(Curves!$B$2)+1&lt;=78-Projects!$C$13+1))),0)</f>
        <v>0</v>
      </c>
      <c r="CC14" s="289" t="n">
        <f aca="false">IF(AND(Projects!$G$13="Yes",Projects!$F$13="Yes",79&gt;=Projects!$C$13,79&lt;Projects!$C$13+Projects!$D$13),Projects!$B$13*(1-SUMPRODUCT((Curves!$B$2:$AO$2)*(COLUMN(Curves!$B$2:$AO$2)-COLUMN(Curves!$B$2)+1&lt;=79-Projects!$C$13+1))),0)</f>
        <v>0</v>
      </c>
      <c r="CD14" s="289" t="n">
        <f aca="false">IF(AND(Projects!$G$13="Yes",Projects!$F$13="Yes",80&gt;=Projects!$C$13,80&lt;Projects!$C$13+Projects!$D$13),Projects!$B$13*(1-SUMPRODUCT((Curves!$B$2:$AO$2)*(COLUMN(Curves!$B$2:$AO$2)-COLUMN(Curves!$B$2)+1&lt;=80-Projects!$C$13+1))),0)</f>
        <v>0</v>
      </c>
      <c r="CE14" s="289" t="n">
        <f aca="false">IF(AND(Projects!$G$13="Yes",Projects!$F$13="Yes",81&gt;=Projects!$C$13,81&lt;Projects!$C$13+Projects!$D$13),Projects!$B$13*(1-SUMPRODUCT((Curves!$B$2:$AO$2)*(COLUMN(Curves!$B$2:$AO$2)-COLUMN(Curves!$B$2)+1&lt;=81-Projects!$C$13+1))),0)</f>
        <v>0</v>
      </c>
      <c r="CF14" s="289" t="n">
        <f aca="false">IF(AND(Projects!$G$13="Yes",Projects!$F$13="Yes",82&gt;=Projects!$C$13,82&lt;Projects!$C$13+Projects!$D$13),Projects!$B$13*(1-SUMPRODUCT((Curves!$B$2:$AO$2)*(COLUMN(Curves!$B$2:$AO$2)-COLUMN(Curves!$B$2)+1&lt;=82-Projects!$C$13+1))),0)</f>
        <v>0</v>
      </c>
      <c r="CG14" s="289" t="n">
        <f aca="false">IF(AND(Projects!$G$13="Yes",Projects!$F$13="Yes",83&gt;=Projects!$C$13,83&lt;Projects!$C$13+Projects!$D$13),Projects!$B$13*(1-SUMPRODUCT((Curves!$B$2:$AO$2)*(COLUMN(Curves!$B$2:$AO$2)-COLUMN(Curves!$B$2)+1&lt;=83-Projects!$C$13+1))),0)</f>
        <v>0</v>
      </c>
      <c r="CH14" s="289" t="n">
        <f aca="false">IF(AND(Projects!$G$13="Yes",Projects!$F$13="Yes",84&gt;=Projects!$C$13,84&lt;Projects!$C$13+Projects!$D$13),Projects!$B$13*(1-SUMPRODUCT((Curves!$B$2:$AO$2)*(COLUMN(Curves!$B$2:$AO$2)-COLUMN(Curves!$B$2)+1&lt;=84-Projects!$C$13+1))),0)</f>
        <v>0</v>
      </c>
      <c r="CI14" s="289" t="n">
        <f aca="false">IF(AND(Projects!$G$13="Yes",Projects!$F$13="Yes",85&gt;=Projects!$C$13,85&lt;Projects!$C$13+Projects!$D$13),Projects!$B$13*(1-SUMPRODUCT((Curves!$B$2:$AO$2)*(COLUMN(Curves!$B$2:$AO$2)-COLUMN(Curves!$B$2)+1&lt;=85-Projects!$C$13+1))),0)</f>
        <v>0</v>
      </c>
      <c r="CJ14" s="289" t="n">
        <f aca="false">IF(AND(Projects!$G$13="Yes",Projects!$F$13="Yes",86&gt;=Projects!$C$13,86&lt;Projects!$C$13+Projects!$D$13),Projects!$B$13*(1-SUMPRODUCT((Curves!$B$2:$AO$2)*(COLUMN(Curves!$B$2:$AO$2)-COLUMN(Curves!$B$2)+1&lt;=86-Projects!$C$13+1))),0)</f>
        <v>0</v>
      </c>
      <c r="CK14" s="289" t="n">
        <f aca="false">IF(AND(Projects!$G$13="Yes",Projects!$F$13="Yes",87&gt;=Projects!$C$13,87&lt;Projects!$C$13+Projects!$D$13),Projects!$B$13*(1-SUMPRODUCT((Curves!$B$2:$AO$2)*(COLUMN(Curves!$B$2:$AO$2)-COLUMN(Curves!$B$2)+1&lt;=87-Projects!$C$13+1))),0)</f>
        <v>0</v>
      </c>
      <c r="CL14" s="289" t="n">
        <f aca="false">IF(AND(Projects!$G$13="Yes",Projects!$F$13="Yes",88&gt;=Projects!$C$13,88&lt;Projects!$C$13+Projects!$D$13),Projects!$B$13*(1-SUMPRODUCT((Curves!$B$2:$AO$2)*(COLUMN(Curves!$B$2:$AO$2)-COLUMN(Curves!$B$2)+1&lt;=88-Projects!$C$13+1))),0)</f>
        <v>0</v>
      </c>
      <c r="CM14" s="289" t="n">
        <f aca="false">IF(AND(Projects!$G$13="Yes",Projects!$F$13="Yes",89&gt;=Projects!$C$13,89&lt;Projects!$C$13+Projects!$D$13),Projects!$B$13*(1-SUMPRODUCT((Curves!$B$2:$AO$2)*(COLUMN(Curves!$B$2:$AO$2)-COLUMN(Curves!$B$2)+1&lt;=89-Projects!$C$13+1))),0)</f>
        <v>0</v>
      </c>
      <c r="CN14" s="289" t="n">
        <f aca="false">IF(AND(Projects!$G$13="Yes",Projects!$F$13="Yes",90&gt;=Projects!$C$13,90&lt;Projects!$C$13+Projects!$D$13),Projects!$B$13*(1-SUMPRODUCT((Curves!$B$2:$AO$2)*(COLUMN(Curves!$B$2:$AO$2)-COLUMN(Curves!$B$2)+1&lt;=90-Projects!$C$13+1))),0)</f>
        <v>0</v>
      </c>
      <c r="CO14" s="289" t="n">
        <f aca="false">IF(AND(Projects!$G$13="Yes",Projects!$F$13="Yes",91&gt;=Projects!$C$13,91&lt;Projects!$C$13+Projects!$D$13),Projects!$B$13*(1-SUMPRODUCT((Curves!$B$2:$AO$2)*(COLUMN(Curves!$B$2:$AO$2)-COLUMN(Curves!$B$2)+1&lt;=91-Projects!$C$13+1))),0)</f>
        <v>0</v>
      </c>
      <c r="CP14" s="289" t="n">
        <f aca="false">IF(AND(Projects!$G$13="Yes",Projects!$F$13="Yes",92&gt;=Projects!$C$13,92&lt;Projects!$C$13+Projects!$D$13),Projects!$B$13*(1-SUMPRODUCT((Curves!$B$2:$AO$2)*(COLUMN(Curves!$B$2:$AO$2)-COLUMN(Curves!$B$2)+1&lt;=92-Projects!$C$13+1))),0)</f>
        <v>0</v>
      </c>
      <c r="CQ14" s="28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9" t="n">
        <f aca="false">IF(AND(Projects!$G$14="Yes",Projects!$F$14="Yes",1&gt;=Projects!$C$14,1&lt;Projects!$C$14+Projects!$D$14),Projects!$B$14*(1-SUMPRODUCT((Curves!$B$2:$AO$2)*(COLUMN(Curves!$B$2:$AO$2)-COLUMN(Curves!$B$2)+1&lt;=1-Projects!$C$14+1))),0)</f>
        <v>0</v>
      </c>
      <c r="D15" s="289" t="n">
        <f aca="false">IF(AND(Projects!$G$14="Yes",Projects!$F$14="Yes",2&gt;=Projects!$C$14,2&lt;Projects!$C$14+Projects!$D$14),Projects!$B$14*(1-SUMPRODUCT((Curves!$B$2:$AO$2)*(COLUMN(Curves!$B$2:$AO$2)-COLUMN(Curves!$B$2)+1&lt;=2-Projects!$C$14+1))),0)</f>
        <v>0</v>
      </c>
      <c r="E15" s="289" t="n">
        <f aca="false">IF(AND(Projects!$G$14="Yes",Projects!$F$14="Yes",3&gt;=Projects!$C$14,3&lt;Projects!$C$14+Projects!$D$14),Projects!$B$14*(1-SUMPRODUCT((Curves!$B$2:$AO$2)*(COLUMN(Curves!$B$2:$AO$2)-COLUMN(Curves!$B$2)+1&lt;=3-Projects!$C$14+1))),0)</f>
        <v>0</v>
      </c>
      <c r="F15" s="289" t="n">
        <f aca="false">IF(AND(Projects!$G$14="Yes",Projects!$F$14="Yes",4&gt;=Projects!$C$14,4&lt;Projects!$C$14+Projects!$D$14),Projects!$B$14*(1-SUMPRODUCT((Curves!$B$2:$AO$2)*(COLUMN(Curves!$B$2:$AO$2)-COLUMN(Curves!$B$2)+1&lt;=4-Projects!$C$14+1))),0)</f>
        <v>0</v>
      </c>
      <c r="G15" s="289" t="n">
        <f aca="false">IF(AND(Projects!$G$14="Yes",Projects!$F$14="Yes",5&gt;=Projects!$C$14,5&lt;Projects!$C$14+Projects!$D$14),Projects!$B$14*(1-SUMPRODUCT((Curves!$B$2:$AO$2)*(COLUMN(Curves!$B$2:$AO$2)-COLUMN(Curves!$B$2)+1&lt;=5-Projects!$C$14+1))),0)</f>
        <v>0</v>
      </c>
      <c r="H15" s="289" t="n">
        <f aca="false">IF(AND(Projects!$G$14="Yes",Projects!$F$14="Yes",6&gt;=Projects!$C$14,6&lt;Projects!$C$14+Projects!$D$14),Projects!$B$14*(1-SUMPRODUCT((Curves!$B$2:$AO$2)*(COLUMN(Curves!$B$2:$AO$2)-COLUMN(Curves!$B$2)+1&lt;=6-Projects!$C$14+1))),0)</f>
        <v>0</v>
      </c>
      <c r="I15" s="289" t="n">
        <f aca="false">IF(AND(Projects!$G$14="Yes",Projects!$F$14="Yes",7&gt;=Projects!$C$14,7&lt;Projects!$C$14+Projects!$D$14),Projects!$B$14*(1-SUMPRODUCT((Curves!$B$2:$AO$2)*(COLUMN(Curves!$B$2:$AO$2)-COLUMN(Curves!$B$2)+1&lt;=7-Projects!$C$14+1))),0)</f>
        <v>0</v>
      </c>
      <c r="J15" s="289" t="n">
        <f aca="false">IF(AND(Projects!$G$14="Yes",Projects!$F$14="Yes",8&gt;=Projects!$C$14,8&lt;Projects!$C$14+Projects!$D$14),Projects!$B$14*(1-SUMPRODUCT((Curves!$B$2:$AO$2)*(COLUMN(Curves!$B$2:$AO$2)-COLUMN(Curves!$B$2)+1&lt;=8-Projects!$C$14+1))),0)</f>
        <v>0</v>
      </c>
      <c r="K15" s="289" t="n">
        <f aca="false">IF(AND(Projects!$G$14="Yes",Projects!$F$14="Yes",9&gt;=Projects!$C$14,9&lt;Projects!$C$14+Projects!$D$14),Projects!$B$14*(1-SUMPRODUCT((Curves!$B$2:$AO$2)*(COLUMN(Curves!$B$2:$AO$2)-COLUMN(Curves!$B$2)+1&lt;=9-Projects!$C$14+1))),0)</f>
        <v>0</v>
      </c>
      <c r="L15" s="289" t="n">
        <f aca="false">IF(AND(Projects!$G$14="Yes",Projects!$F$14="Yes",10&gt;=Projects!$C$14,10&lt;Projects!$C$14+Projects!$D$14),Projects!$B$14*(1-SUMPRODUCT((Curves!$B$2:$AO$2)*(COLUMN(Curves!$B$2:$AO$2)-COLUMN(Curves!$B$2)+1&lt;=10-Projects!$C$14+1))),0)</f>
        <v>0</v>
      </c>
      <c r="M15" s="289" t="n">
        <f aca="false">IF(AND(Projects!$G$14="Yes",Projects!$F$14="Yes",11&gt;=Projects!$C$14,11&lt;Projects!$C$14+Projects!$D$14),Projects!$B$14*(1-SUMPRODUCT((Curves!$B$2:$AO$2)*(COLUMN(Curves!$B$2:$AO$2)-COLUMN(Curves!$B$2)+1&lt;=11-Projects!$C$14+1))),0)</f>
        <v>0</v>
      </c>
      <c r="N15" s="289" t="n">
        <f aca="false">IF(AND(Projects!$G$14="Yes",Projects!$F$14="Yes",12&gt;=Projects!$C$14,12&lt;Projects!$C$14+Projects!$D$14),Projects!$B$14*(1-SUMPRODUCT((Curves!$B$2:$AO$2)*(COLUMN(Curves!$B$2:$AO$2)-COLUMN(Curves!$B$2)+1&lt;=12-Projects!$C$14+1))),0)</f>
        <v>0</v>
      </c>
      <c r="O15" s="289" t="n">
        <f aca="false">IF(AND(Projects!$G$14="Yes",Projects!$F$14="Yes",13&gt;=Projects!$C$14,13&lt;Projects!$C$14+Projects!$D$14),Projects!$B$14*(1-SUMPRODUCT((Curves!$B$2:$AO$2)*(COLUMN(Curves!$B$2:$AO$2)-COLUMN(Curves!$B$2)+1&lt;=13-Projects!$C$14+1))),0)</f>
        <v>0</v>
      </c>
      <c r="P15" s="289" t="n">
        <f aca="false">IF(AND(Projects!$G$14="Yes",Projects!$F$14="Yes",14&gt;=Projects!$C$14,14&lt;Projects!$C$14+Projects!$D$14),Projects!$B$14*(1-SUMPRODUCT((Curves!$B$2:$AO$2)*(COLUMN(Curves!$B$2:$AO$2)-COLUMN(Curves!$B$2)+1&lt;=14-Projects!$C$14+1))),0)</f>
        <v>0</v>
      </c>
      <c r="Q15" s="289" t="n">
        <f aca="false">IF(AND(Projects!$G$14="Yes",Projects!$F$14="Yes",15&gt;=Projects!$C$14,15&lt;Projects!$C$14+Projects!$D$14),Projects!$B$14*(1-SUMPRODUCT((Curves!$B$2:$AO$2)*(COLUMN(Curves!$B$2:$AO$2)-COLUMN(Curves!$B$2)+1&lt;=15-Projects!$C$14+1))),0)</f>
        <v>0</v>
      </c>
      <c r="R15" s="289" t="n">
        <f aca="false">IF(AND(Projects!$G$14="Yes",Projects!$F$14="Yes",16&gt;=Projects!$C$14,16&lt;Projects!$C$14+Projects!$D$14),Projects!$B$14*(1-SUMPRODUCT((Curves!$B$2:$AO$2)*(COLUMN(Curves!$B$2:$AO$2)-COLUMN(Curves!$B$2)+1&lt;=16-Projects!$C$14+1))),0)</f>
        <v>0</v>
      </c>
      <c r="S15" s="289" t="n">
        <f aca="false">IF(AND(Projects!$G$14="Yes",Projects!$F$14="Yes",17&gt;=Projects!$C$14,17&lt;Projects!$C$14+Projects!$D$14),Projects!$B$14*(1-SUMPRODUCT((Curves!$B$2:$AO$2)*(COLUMN(Curves!$B$2:$AO$2)-COLUMN(Curves!$B$2)+1&lt;=17-Projects!$C$14+1))),0)</f>
        <v>0</v>
      </c>
      <c r="T15" s="289" t="n">
        <f aca="false">IF(AND(Projects!$G$14="Yes",Projects!$F$14="Yes",18&gt;=Projects!$C$14,18&lt;Projects!$C$14+Projects!$D$14),Projects!$B$14*(1-SUMPRODUCT((Curves!$B$2:$AO$2)*(COLUMN(Curves!$B$2:$AO$2)-COLUMN(Curves!$B$2)+1&lt;=18-Projects!$C$14+1))),0)</f>
        <v>0</v>
      </c>
      <c r="U15" s="289" t="n">
        <f aca="false">IF(AND(Projects!$G$14="Yes",Projects!$F$14="Yes",19&gt;=Projects!$C$14,19&lt;Projects!$C$14+Projects!$D$14),Projects!$B$14*(1-SUMPRODUCT((Curves!$B$2:$AO$2)*(COLUMN(Curves!$B$2:$AO$2)-COLUMN(Curves!$B$2)+1&lt;=19-Projects!$C$14+1))),0)</f>
        <v>0</v>
      </c>
      <c r="V15" s="289" t="n">
        <f aca="false">IF(AND(Projects!$G$14="Yes",Projects!$F$14="Yes",20&gt;=Projects!$C$14,20&lt;Projects!$C$14+Projects!$D$14),Projects!$B$14*(1-SUMPRODUCT((Curves!$B$2:$AO$2)*(COLUMN(Curves!$B$2:$AO$2)-COLUMN(Curves!$B$2)+1&lt;=20-Projects!$C$14+1))),0)</f>
        <v>0</v>
      </c>
      <c r="W15" s="289" t="n">
        <f aca="false">IF(AND(Projects!$G$14="Yes",Projects!$F$14="Yes",21&gt;=Projects!$C$14,21&lt;Projects!$C$14+Projects!$D$14),Projects!$B$14*(1-SUMPRODUCT((Curves!$B$2:$AO$2)*(COLUMN(Curves!$B$2:$AO$2)-COLUMN(Curves!$B$2)+1&lt;=21-Projects!$C$14+1))),0)</f>
        <v>0</v>
      </c>
      <c r="X15" s="289" t="n">
        <f aca="false">IF(AND(Projects!$G$14="Yes",Projects!$F$14="Yes",22&gt;=Projects!$C$14,22&lt;Projects!$C$14+Projects!$D$14),Projects!$B$14*(1-SUMPRODUCT((Curves!$B$2:$AO$2)*(COLUMN(Curves!$B$2:$AO$2)-COLUMN(Curves!$B$2)+1&lt;=22-Projects!$C$14+1))),0)</f>
        <v>0</v>
      </c>
      <c r="Y15" s="289" t="n">
        <f aca="false">IF(AND(Projects!$G$14="Yes",Projects!$F$14="Yes",23&gt;=Projects!$C$14,23&lt;Projects!$C$14+Projects!$D$14),Projects!$B$14*(1-SUMPRODUCT((Curves!$B$2:$AO$2)*(COLUMN(Curves!$B$2:$AO$2)-COLUMN(Curves!$B$2)+1&lt;=23-Projects!$C$14+1))),0)</f>
        <v>0</v>
      </c>
      <c r="Z15" s="289" t="n">
        <f aca="false">IF(AND(Projects!$G$14="Yes",Projects!$F$14="Yes",24&gt;=Projects!$C$14,24&lt;Projects!$C$14+Projects!$D$14),Projects!$B$14*(1-SUMPRODUCT((Curves!$B$2:$AO$2)*(COLUMN(Curves!$B$2:$AO$2)-COLUMN(Curves!$B$2)+1&lt;=24-Projects!$C$14+1))),0)</f>
        <v>0</v>
      </c>
      <c r="AA15" s="289" t="n">
        <f aca="false">IF(AND(Projects!$G$14="Yes",Projects!$F$14="Yes",25&gt;=Projects!$C$14,25&lt;Projects!$C$14+Projects!$D$14),Projects!$B$14*(1-SUMPRODUCT((Curves!$B$2:$AO$2)*(COLUMN(Curves!$B$2:$AO$2)-COLUMN(Curves!$B$2)+1&lt;=25-Projects!$C$14+1))),0)</f>
        <v>0</v>
      </c>
      <c r="AB15" s="289" t="n">
        <f aca="false">IF(AND(Projects!$G$14="Yes",Projects!$F$14="Yes",26&gt;=Projects!$C$14,26&lt;Projects!$C$14+Projects!$D$14),Projects!$B$14*(1-SUMPRODUCT((Curves!$B$2:$AO$2)*(COLUMN(Curves!$B$2:$AO$2)-COLUMN(Curves!$B$2)+1&lt;=26-Projects!$C$14+1))),0)</f>
        <v>0</v>
      </c>
      <c r="AC15" s="289" t="n">
        <f aca="false">IF(AND(Projects!$G$14="Yes",Projects!$F$14="Yes",27&gt;=Projects!$C$14,27&lt;Projects!$C$14+Projects!$D$14),Projects!$B$14*(1-SUMPRODUCT((Curves!$B$2:$AO$2)*(COLUMN(Curves!$B$2:$AO$2)-COLUMN(Curves!$B$2)+1&lt;=27-Projects!$C$14+1))),0)</f>
        <v>0</v>
      </c>
      <c r="AD15" s="289" t="n">
        <f aca="false">IF(AND(Projects!$G$14="Yes",Projects!$F$14="Yes",28&gt;=Projects!$C$14,28&lt;Projects!$C$14+Projects!$D$14),Projects!$B$14*(1-SUMPRODUCT((Curves!$B$2:$AO$2)*(COLUMN(Curves!$B$2:$AO$2)-COLUMN(Curves!$B$2)+1&lt;=28-Projects!$C$14+1))),0)</f>
        <v>0</v>
      </c>
      <c r="AE15" s="289" t="n">
        <f aca="false">IF(AND(Projects!$G$14="Yes",Projects!$F$14="Yes",29&gt;=Projects!$C$14,29&lt;Projects!$C$14+Projects!$D$14),Projects!$B$14*(1-SUMPRODUCT((Curves!$B$2:$AO$2)*(COLUMN(Curves!$B$2:$AO$2)-COLUMN(Curves!$B$2)+1&lt;=29-Projects!$C$14+1))),0)</f>
        <v>0</v>
      </c>
      <c r="AF15" s="289" t="n">
        <f aca="false">IF(AND(Projects!$G$14="Yes",Projects!$F$14="Yes",30&gt;=Projects!$C$14,30&lt;Projects!$C$14+Projects!$D$14),Projects!$B$14*(1-SUMPRODUCT((Curves!$B$2:$AO$2)*(COLUMN(Curves!$B$2:$AO$2)-COLUMN(Curves!$B$2)+1&lt;=30-Projects!$C$14+1))),0)</f>
        <v>0</v>
      </c>
      <c r="AG15" s="289" t="n">
        <f aca="false">IF(AND(Projects!$G$14="Yes",Projects!$F$14="Yes",31&gt;=Projects!$C$14,31&lt;Projects!$C$14+Projects!$D$14),Projects!$B$14*(1-SUMPRODUCT((Curves!$B$2:$AO$2)*(COLUMN(Curves!$B$2:$AO$2)-COLUMN(Curves!$B$2)+1&lt;=31-Projects!$C$14+1))),0)</f>
        <v>0</v>
      </c>
      <c r="AH15" s="289" t="n">
        <f aca="false">IF(AND(Projects!$G$14="Yes",Projects!$F$14="Yes",32&gt;=Projects!$C$14,32&lt;Projects!$C$14+Projects!$D$14),Projects!$B$14*(1-SUMPRODUCT((Curves!$B$2:$AO$2)*(COLUMN(Curves!$B$2:$AO$2)-COLUMN(Curves!$B$2)+1&lt;=32-Projects!$C$14+1))),0)</f>
        <v>0</v>
      </c>
      <c r="AI15" s="289" t="n">
        <f aca="false">IF(AND(Projects!$G$14="Yes",Projects!$F$14="Yes",33&gt;=Projects!$C$14,33&lt;Projects!$C$14+Projects!$D$14),Projects!$B$14*(1-SUMPRODUCT((Curves!$B$2:$AO$2)*(COLUMN(Curves!$B$2:$AO$2)-COLUMN(Curves!$B$2)+1&lt;=33-Projects!$C$14+1))),0)</f>
        <v>0</v>
      </c>
      <c r="AJ15" s="289" t="n">
        <f aca="false">IF(AND(Projects!$G$14="Yes",Projects!$F$14="Yes",34&gt;=Projects!$C$14,34&lt;Projects!$C$14+Projects!$D$14),Projects!$B$14*(1-SUMPRODUCT((Curves!$B$2:$AO$2)*(COLUMN(Curves!$B$2:$AO$2)-COLUMN(Curves!$B$2)+1&lt;=34-Projects!$C$14+1))),0)</f>
        <v>0</v>
      </c>
      <c r="AK15" s="289" t="n">
        <f aca="false">IF(AND(Projects!$G$14="Yes",Projects!$F$14="Yes",35&gt;=Projects!$C$14,35&lt;Projects!$C$14+Projects!$D$14),Projects!$B$14*(1-SUMPRODUCT((Curves!$B$2:$AO$2)*(COLUMN(Curves!$B$2:$AO$2)-COLUMN(Curves!$B$2)+1&lt;=35-Projects!$C$14+1))),0)</f>
        <v>0</v>
      </c>
      <c r="AL15" s="289" t="n">
        <f aca="false">IF(AND(Projects!$G$14="Yes",Projects!$F$14="Yes",36&gt;=Projects!$C$14,36&lt;Projects!$C$14+Projects!$D$14),Projects!$B$14*(1-SUMPRODUCT((Curves!$B$2:$AO$2)*(COLUMN(Curves!$B$2:$AO$2)-COLUMN(Curves!$B$2)+1&lt;=36-Projects!$C$14+1))),0)</f>
        <v>0</v>
      </c>
      <c r="AM15" s="289" t="n">
        <f aca="false">IF(AND(Projects!$G$14="Yes",Projects!$F$14="Yes",37&gt;=Projects!$C$14,37&lt;Projects!$C$14+Projects!$D$14),Projects!$B$14*(1-SUMPRODUCT((Curves!$B$2:$AO$2)*(COLUMN(Curves!$B$2:$AO$2)-COLUMN(Curves!$B$2)+1&lt;=37-Projects!$C$14+1))),0)</f>
        <v>0</v>
      </c>
      <c r="AN15" s="289" t="n">
        <f aca="false">IF(AND(Projects!$G$14="Yes",Projects!$F$14="Yes",38&gt;=Projects!$C$14,38&lt;Projects!$C$14+Projects!$D$14),Projects!$B$14*(1-SUMPRODUCT((Curves!$B$2:$AO$2)*(COLUMN(Curves!$B$2:$AO$2)-COLUMN(Curves!$B$2)+1&lt;=38-Projects!$C$14+1))),0)</f>
        <v>0</v>
      </c>
      <c r="AO15" s="289" t="n">
        <f aca="false">IF(AND(Projects!$G$14="Yes",Projects!$F$14="Yes",39&gt;=Projects!$C$14,39&lt;Projects!$C$14+Projects!$D$14),Projects!$B$14*(1-SUMPRODUCT((Curves!$B$2:$AO$2)*(COLUMN(Curves!$B$2:$AO$2)-COLUMN(Curves!$B$2)+1&lt;=39-Projects!$C$14+1))),0)</f>
        <v>0</v>
      </c>
      <c r="AP15" s="289" t="n">
        <f aca="false">IF(AND(Projects!$G$14="Yes",Projects!$F$14="Yes",40&gt;=Projects!$C$14,40&lt;Projects!$C$14+Projects!$D$14),Projects!$B$14*(1-SUMPRODUCT((Curves!$B$2:$AO$2)*(COLUMN(Curves!$B$2:$AO$2)-COLUMN(Curves!$B$2)+1&lt;=40-Projects!$C$14+1))),0)</f>
        <v>0</v>
      </c>
      <c r="AQ15" s="289" t="n">
        <f aca="false">IF(AND(Projects!$G$14="Yes",Projects!$F$14="Yes",41&gt;=Projects!$C$14,41&lt;Projects!$C$14+Projects!$D$14),Projects!$B$14*(1-SUMPRODUCT((Curves!$B$2:$AO$2)*(COLUMN(Curves!$B$2:$AO$2)-COLUMN(Curves!$B$2)+1&lt;=41-Projects!$C$14+1))),0)</f>
        <v>0</v>
      </c>
      <c r="AR15" s="289" t="n">
        <f aca="false">IF(AND(Projects!$G$14="Yes",Projects!$F$14="Yes",42&gt;=Projects!$C$14,42&lt;Projects!$C$14+Projects!$D$14),Projects!$B$14*(1-SUMPRODUCT((Curves!$B$2:$AO$2)*(COLUMN(Curves!$B$2:$AO$2)-COLUMN(Curves!$B$2)+1&lt;=42-Projects!$C$14+1))),0)</f>
        <v>0</v>
      </c>
      <c r="AS15" s="289" t="n">
        <f aca="false">IF(AND(Projects!$G$14="Yes",Projects!$F$14="Yes",43&gt;=Projects!$C$14,43&lt;Projects!$C$14+Projects!$D$14),Projects!$B$14*(1-SUMPRODUCT((Curves!$B$2:$AO$2)*(COLUMN(Curves!$B$2:$AO$2)-COLUMN(Curves!$B$2)+1&lt;=43-Projects!$C$14+1))),0)</f>
        <v>0</v>
      </c>
      <c r="AT15" s="289" t="n">
        <f aca="false">IF(AND(Projects!$G$14="Yes",Projects!$F$14="Yes",44&gt;=Projects!$C$14,44&lt;Projects!$C$14+Projects!$D$14),Projects!$B$14*(1-SUMPRODUCT((Curves!$B$2:$AO$2)*(COLUMN(Curves!$B$2:$AO$2)-COLUMN(Curves!$B$2)+1&lt;=44-Projects!$C$14+1))),0)</f>
        <v>0</v>
      </c>
      <c r="AU15" s="289" t="n">
        <f aca="false">IF(AND(Projects!$G$14="Yes",Projects!$F$14="Yes",45&gt;=Projects!$C$14,45&lt;Projects!$C$14+Projects!$D$14),Projects!$B$14*(1-SUMPRODUCT((Curves!$B$2:$AO$2)*(COLUMN(Curves!$B$2:$AO$2)-COLUMN(Curves!$B$2)+1&lt;=45-Projects!$C$14+1))),0)</f>
        <v>0</v>
      </c>
      <c r="AV15" s="289" t="n">
        <f aca="false">IF(AND(Projects!$G$14="Yes",Projects!$F$14="Yes",46&gt;=Projects!$C$14,46&lt;Projects!$C$14+Projects!$D$14),Projects!$B$14*(1-SUMPRODUCT((Curves!$B$2:$AO$2)*(COLUMN(Curves!$B$2:$AO$2)-COLUMN(Curves!$B$2)+1&lt;=46-Projects!$C$14+1))),0)</f>
        <v>0</v>
      </c>
      <c r="AW15" s="289" t="n">
        <f aca="false">IF(AND(Projects!$G$14="Yes",Projects!$F$14="Yes",47&gt;=Projects!$C$14,47&lt;Projects!$C$14+Projects!$D$14),Projects!$B$14*(1-SUMPRODUCT((Curves!$B$2:$AO$2)*(COLUMN(Curves!$B$2:$AO$2)-COLUMN(Curves!$B$2)+1&lt;=47-Projects!$C$14+1))),0)</f>
        <v>0</v>
      </c>
      <c r="AX15" s="289" t="n">
        <f aca="false">IF(AND(Projects!$G$14="Yes",Projects!$F$14="Yes",48&gt;=Projects!$C$14,48&lt;Projects!$C$14+Projects!$D$14),Projects!$B$14*(1-SUMPRODUCT((Curves!$B$2:$AO$2)*(COLUMN(Curves!$B$2:$AO$2)-COLUMN(Curves!$B$2)+1&lt;=48-Projects!$C$14+1))),0)</f>
        <v>0</v>
      </c>
      <c r="AY15" s="289" t="n">
        <f aca="false">IF(AND(Projects!$G$14="Yes",Projects!$F$14="Yes",49&gt;=Projects!$C$14,49&lt;Projects!$C$14+Projects!$D$14),Projects!$B$14*(1-SUMPRODUCT((Curves!$B$2:$AO$2)*(COLUMN(Curves!$B$2:$AO$2)-COLUMN(Curves!$B$2)+1&lt;=49-Projects!$C$14+1))),0)</f>
        <v>0</v>
      </c>
      <c r="AZ15" s="289" t="n">
        <f aca="false">IF(AND(Projects!$G$14="Yes",Projects!$F$14="Yes",50&gt;=Projects!$C$14,50&lt;Projects!$C$14+Projects!$D$14),Projects!$B$14*(1-SUMPRODUCT((Curves!$B$2:$AO$2)*(COLUMN(Curves!$B$2:$AO$2)-COLUMN(Curves!$B$2)+1&lt;=50-Projects!$C$14+1))),0)</f>
        <v>0</v>
      </c>
      <c r="BA15" s="289" t="n">
        <f aca="false">IF(AND(Projects!$G$14="Yes",Projects!$F$14="Yes",51&gt;=Projects!$C$14,51&lt;Projects!$C$14+Projects!$D$14),Projects!$B$14*(1-SUMPRODUCT((Curves!$B$2:$AO$2)*(COLUMN(Curves!$B$2:$AO$2)-COLUMN(Curves!$B$2)+1&lt;=51-Projects!$C$14+1))),0)</f>
        <v>0</v>
      </c>
      <c r="BB15" s="289" t="n">
        <f aca="false">IF(AND(Projects!$G$14="Yes",Projects!$F$14="Yes",52&gt;=Projects!$C$14,52&lt;Projects!$C$14+Projects!$D$14),Projects!$B$14*(1-SUMPRODUCT((Curves!$B$2:$AO$2)*(COLUMN(Curves!$B$2:$AO$2)-COLUMN(Curves!$B$2)+1&lt;=52-Projects!$C$14+1))),0)</f>
        <v>0</v>
      </c>
      <c r="BC15" s="289" t="n">
        <f aca="false">IF(AND(Projects!$G$14="Yes",Projects!$F$14="Yes",53&gt;=Projects!$C$14,53&lt;Projects!$C$14+Projects!$D$14),Projects!$B$14*(1-SUMPRODUCT((Curves!$B$2:$AO$2)*(COLUMN(Curves!$B$2:$AO$2)-COLUMN(Curves!$B$2)+1&lt;=53-Projects!$C$14+1))),0)</f>
        <v>0</v>
      </c>
      <c r="BD15" s="289" t="n">
        <f aca="false">IF(AND(Projects!$G$14="Yes",Projects!$F$14="Yes",54&gt;=Projects!$C$14,54&lt;Projects!$C$14+Projects!$D$14),Projects!$B$14*(1-SUMPRODUCT((Curves!$B$2:$AO$2)*(COLUMN(Curves!$B$2:$AO$2)-COLUMN(Curves!$B$2)+1&lt;=54-Projects!$C$14+1))),0)</f>
        <v>0</v>
      </c>
      <c r="BE15" s="289" t="n">
        <f aca="false">IF(AND(Projects!$G$14="Yes",Projects!$F$14="Yes",55&gt;=Projects!$C$14,55&lt;Projects!$C$14+Projects!$D$14),Projects!$B$14*(1-SUMPRODUCT((Curves!$B$2:$AO$2)*(COLUMN(Curves!$B$2:$AO$2)-COLUMN(Curves!$B$2)+1&lt;=55-Projects!$C$14+1))),0)</f>
        <v>0</v>
      </c>
      <c r="BF15" s="289" t="n">
        <f aca="false">IF(AND(Projects!$G$14="Yes",Projects!$F$14="Yes",56&gt;=Projects!$C$14,56&lt;Projects!$C$14+Projects!$D$14),Projects!$B$14*(1-SUMPRODUCT((Curves!$B$2:$AO$2)*(COLUMN(Curves!$B$2:$AO$2)-COLUMN(Curves!$B$2)+1&lt;=56-Projects!$C$14+1))),0)</f>
        <v>0</v>
      </c>
      <c r="BG15" s="289" t="n">
        <f aca="false">IF(AND(Projects!$G$14="Yes",Projects!$F$14="Yes",57&gt;=Projects!$C$14,57&lt;Projects!$C$14+Projects!$D$14),Projects!$B$14*(1-SUMPRODUCT((Curves!$B$2:$AO$2)*(COLUMN(Curves!$B$2:$AO$2)-COLUMN(Curves!$B$2)+1&lt;=57-Projects!$C$14+1))),0)</f>
        <v>0</v>
      </c>
      <c r="BH15" s="289" t="n">
        <f aca="false">IF(AND(Projects!$G$14="Yes",Projects!$F$14="Yes",58&gt;=Projects!$C$14,58&lt;Projects!$C$14+Projects!$D$14),Projects!$B$14*(1-SUMPRODUCT((Curves!$B$2:$AO$2)*(COLUMN(Curves!$B$2:$AO$2)-COLUMN(Curves!$B$2)+1&lt;=58-Projects!$C$14+1))),0)</f>
        <v>0</v>
      </c>
      <c r="BI15" s="289" t="n">
        <f aca="false">IF(AND(Projects!$G$14="Yes",Projects!$F$14="Yes",59&gt;=Projects!$C$14,59&lt;Projects!$C$14+Projects!$D$14),Projects!$B$14*(1-SUMPRODUCT((Curves!$B$2:$AO$2)*(COLUMN(Curves!$B$2:$AO$2)-COLUMN(Curves!$B$2)+1&lt;=59-Projects!$C$14+1))),0)</f>
        <v>0</v>
      </c>
      <c r="BJ15" s="289" t="n">
        <f aca="false">IF(AND(Projects!$G$14="Yes",Projects!$F$14="Yes",60&gt;=Projects!$C$14,60&lt;Projects!$C$14+Projects!$D$14),Projects!$B$14*(1-SUMPRODUCT((Curves!$B$2:$AO$2)*(COLUMN(Curves!$B$2:$AO$2)-COLUMN(Curves!$B$2)+1&lt;=60-Projects!$C$14+1))),0)</f>
        <v>0</v>
      </c>
      <c r="BK15" s="289" t="n">
        <f aca="false">IF(AND(Projects!$G$14="Yes",Projects!$F$14="Yes",61&gt;=Projects!$C$14,61&lt;Projects!$C$14+Projects!$D$14),Projects!$B$14*(1-SUMPRODUCT((Curves!$B$2:$AO$2)*(COLUMN(Curves!$B$2:$AO$2)-COLUMN(Curves!$B$2)+1&lt;=61-Projects!$C$14+1))),0)</f>
        <v>0</v>
      </c>
      <c r="BL15" s="289" t="n">
        <f aca="false">IF(AND(Projects!$G$14="Yes",Projects!$F$14="Yes",62&gt;=Projects!$C$14,62&lt;Projects!$C$14+Projects!$D$14),Projects!$B$14*(1-SUMPRODUCT((Curves!$B$2:$AO$2)*(COLUMN(Curves!$B$2:$AO$2)-COLUMN(Curves!$B$2)+1&lt;=62-Projects!$C$14+1))),0)</f>
        <v>0</v>
      </c>
      <c r="BM15" s="289" t="n">
        <f aca="false">IF(AND(Projects!$G$14="Yes",Projects!$F$14="Yes",63&gt;=Projects!$C$14,63&lt;Projects!$C$14+Projects!$D$14),Projects!$B$14*(1-SUMPRODUCT((Curves!$B$2:$AO$2)*(COLUMN(Curves!$B$2:$AO$2)-COLUMN(Curves!$B$2)+1&lt;=63-Projects!$C$14+1))),0)</f>
        <v>0</v>
      </c>
      <c r="BN15" s="289" t="n">
        <f aca="false">IF(AND(Projects!$G$14="Yes",Projects!$F$14="Yes",64&gt;=Projects!$C$14,64&lt;Projects!$C$14+Projects!$D$14),Projects!$B$14*(1-SUMPRODUCT((Curves!$B$2:$AO$2)*(COLUMN(Curves!$B$2:$AO$2)-COLUMN(Curves!$B$2)+1&lt;=64-Projects!$C$14+1))),0)</f>
        <v>0</v>
      </c>
      <c r="BO15" s="289" t="n">
        <f aca="false">IF(AND(Projects!$G$14="Yes",Projects!$F$14="Yes",65&gt;=Projects!$C$14,65&lt;Projects!$C$14+Projects!$D$14),Projects!$B$14*(1-SUMPRODUCT((Curves!$B$2:$AO$2)*(COLUMN(Curves!$B$2:$AO$2)-COLUMN(Curves!$B$2)+1&lt;=65-Projects!$C$14+1))),0)</f>
        <v>0</v>
      </c>
      <c r="BP15" s="289" t="n">
        <f aca="false">IF(AND(Projects!$G$14="Yes",Projects!$F$14="Yes",66&gt;=Projects!$C$14,66&lt;Projects!$C$14+Projects!$D$14),Projects!$B$14*(1-SUMPRODUCT((Curves!$B$2:$AO$2)*(COLUMN(Curves!$B$2:$AO$2)-COLUMN(Curves!$B$2)+1&lt;=66-Projects!$C$14+1))),0)</f>
        <v>0</v>
      </c>
      <c r="BQ15" s="289" t="n">
        <f aca="false">IF(AND(Projects!$G$14="Yes",Projects!$F$14="Yes",67&gt;=Projects!$C$14,67&lt;Projects!$C$14+Projects!$D$14),Projects!$B$14*(1-SUMPRODUCT((Curves!$B$2:$AO$2)*(COLUMN(Curves!$B$2:$AO$2)-COLUMN(Curves!$B$2)+1&lt;=67-Projects!$C$14+1))),0)</f>
        <v>0</v>
      </c>
      <c r="BR15" s="289" t="n">
        <f aca="false">IF(AND(Projects!$G$14="Yes",Projects!$F$14="Yes",68&gt;=Projects!$C$14,68&lt;Projects!$C$14+Projects!$D$14),Projects!$B$14*(1-SUMPRODUCT((Curves!$B$2:$AO$2)*(COLUMN(Curves!$B$2:$AO$2)-COLUMN(Curves!$B$2)+1&lt;=68-Projects!$C$14+1))),0)</f>
        <v>0</v>
      </c>
      <c r="BS15" s="289" t="n">
        <f aca="false">IF(AND(Projects!$G$14="Yes",Projects!$F$14="Yes",69&gt;=Projects!$C$14,69&lt;Projects!$C$14+Projects!$D$14),Projects!$B$14*(1-SUMPRODUCT((Curves!$B$2:$AO$2)*(COLUMN(Curves!$B$2:$AO$2)-COLUMN(Curves!$B$2)+1&lt;=69-Projects!$C$14+1))),0)</f>
        <v>0</v>
      </c>
      <c r="BT15" s="289" t="n">
        <f aca="false">IF(AND(Projects!$G$14="Yes",Projects!$F$14="Yes",70&gt;=Projects!$C$14,70&lt;Projects!$C$14+Projects!$D$14),Projects!$B$14*(1-SUMPRODUCT((Curves!$B$2:$AO$2)*(COLUMN(Curves!$B$2:$AO$2)-COLUMN(Curves!$B$2)+1&lt;=70-Projects!$C$14+1))),0)</f>
        <v>0</v>
      </c>
      <c r="BU15" s="289" t="n">
        <f aca="false">IF(AND(Projects!$G$14="Yes",Projects!$F$14="Yes",71&gt;=Projects!$C$14,71&lt;Projects!$C$14+Projects!$D$14),Projects!$B$14*(1-SUMPRODUCT((Curves!$B$2:$AO$2)*(COLUMN(Curves!$B$2:$AO$2)-COLUMN(Curves!$B$2)+1&lt;=71-Projects!$C$14+1))),0)</f>
        <v>0</v>
      </c>
      <c r="BV15" s="289" t="n">
        <f aca="false">IF(AND(Projects!$G$14="Yes",Projects!$F$14="Yes",72&gt;=Projects!$C$14,72&lt;Projects!$C$14+Projects!$D$14),Projects!$B$14*(1-SUMPRODUCT((Curves!$B$2:$AO$2)*(COLUMN(Curves!$B$2:$AO$2)-COLUMN(Curves!$B$2)+1&lt;=72-Projects!$C$14+1))),0)</f>
        <v>0</v>
      </c>
      <c r="BW15" s="289" t="n">
        <f aca="false">IF(AND(Projects!$G$14="Yes",Projects!$F$14="Yes",73&gt;=Projects!$C$14,73&lt;Projects!$C$14+Projects!$D$14),Projects!$B$14*(1-SUMPRODUCT((Curves!$B$2:$AO$2)*(COLUMN(Curves!$B$2:$AO$2)-COLUMN(Curves!$B$2)+1&lt;=73-Projects!$C$14+1))),0)</f>
        <v>0</v>
      </c>
      <c r="BX15" s="289" t="n">
        <f aca="false">IF(AND(Projects!$G$14="Yes",Projects!$F$14="Yes",74&gt;=Projects!$C$14,74&lt;Projects!$C$14+Projects!$D$14),Projects!$B$14*(1-SUMPRODUCT((Curves!$B$2:$AO$2)*(COLUMN(Curves!$B$2:$AO$2)-COLUMN(Curves!$B$2)+1&lt;=74-Projects!$C$14+1))),0)</f>
        <v>0</v>
      </c>
      <c r="BY15" s="289" t="n">
        <f aca="false">IF(AND(Projects!$G$14="Yes",Projects!$F$14="Yes",75&gt;=Projects!$C$14,75&lt;Projects!$C$14+Projects!$D$14),Projects!$B$14*(1-SUMPRODUCT((Curves!$B$2:$AO$2)*(COLUMN(Curves!$B$2:$AO$2)-COLUMN(Curves!$B$2)+1&lt;=75-Projects!$C$14+1))),0)</f>
        <v>0</v>
      </c>
      <c r="BZ15" s="289" t="n">
        <f aca="false">IF(AND(Projects!$G$14="Yes",Projects!$F$14="Yes",76&gt;=Projects!$C$14,76&lt;Projects!$C$14+Projects!$D$14),Projects!$B$14*(1-SUMPRODUCT((Curves!$B$2:$AO$2)*(COLUMN(Curves!$B$2:$AO$2)-COLUMN(Curves!$B$2)+1&lt;=76-Projects!$C$14+1))),0)</f>
        <v>0</v>
      </c>
      <c r="CA15" s="289" t="n">
        <f aca="false">IF(AND(Projects!$G$14="Yes",Projects!$F$14="Yes",77&gt;=Projects!$C$14,77&lt;Projects!$C$14+Projects!$D$14),Projects!$B$14*(1-SUMPRODUCT((Curves!$B$2:$AO$2)*(COLUMN(Curves!$B$2:$AO$2)-COLUMN(Curves!$B$2)+1&lt;=77-Projects!$C$14+1))),0)</f>
        <v>0</v>
      </c>
      <c r="CB15" s="289" t="n">
        <f aca="false">IF(AND(Projects!$G$14="Yes",Projects!$F$14="Yes",78&gt;=Projects!$C$14,78&lt;Projects!$C$14+Projects!$D$14),Projects!$B$14*(1-SUMPRODUCT((Curves!$B$2:$AO$2)*(COLUMN(Curves!$B$2:$AO$2)-COLUMN(Curves!$B$2)+1&lt;=78-Projects!$C$14+1))),0)</f>
        <v>0</v>
      </c>
      <c r="CC15" s="289" t="n">
        <f aca="false">IF(AND(Projects!$G$14="Yes",Projects!$F$14="Yes",79&gt;=Projects!$C$14,79&lt;Projects!$C$14+Projects!$D$14),Projects!$B$14*(1-SUMPRODUCT((Curves!$B$2:$AO$2)*(COLUMN(Curves!$B$2:$AO$2)-COLUMN(Curves!$B$2)+1&lt;=79-Projects!$C$14+1))),0)</f>
        <v>0</v>
      </c>
      <c r="CD15" s="289" t="n">
        <f aca="false">IF(AND(Projects!$G$14="Yes",Projects!$F$14="Yes",80&gt;=Projects!$C$14,80&lt;Projects!$C$14+Projects!$D$14),Projects!$B$14*(1-SUMPRODUCT((Curves!$B$2:$AO$2)*(COLUMN(Curves!$B$2:$AO$2)-COLUMN(Curves!$B$2)+1&lt;=80-Projects!$C$14+1))),0)</f>
        <v>0</v>
      </c>
      <c r="CE15" s="289" t="n">
        <f aca="false">IF(AND(Projects!$G$14="Yes",Projects!$F$14="Yes",81&gt;=Projects!$C$14,81&lt;Projects!$C$14+Projects!$D$14),Projects!$B$14*(1-SUMPRODUCT((Curves!$B$2:$AO$2)*(COLUMN(Curves!$B$2:$AO$2)-COLUMN(Curves!$B$2)+1&lt;=81-Projects!$C$14+1))),0)</f>
        <v>0</v>
      </c>
      <c r="CF15" s="289" t="n">
        <f aca="false">IF(AND(Projects!$G$14="Yes",Projects!$F$14="Yes",82&gt;=Projects!$C$14,82&lt;Projects!$C$14+Projects!$D$14),Projects!$B$14*(1-SUMPRODUCT((Curves!$B$2:$AO$2)*(COLUMN(Curves!$B$2:$AO$2)-COLUMN(Curves!$B$2)+1&lt;=82-Projects!$C$14+1))),0)</f>
        <v>0</v>
      </c>
      <c r="CG15" s="289" t="n">
        <f aca="false">IF(AND(Projects!$G$14="Yes",Projects!$F$14="Yes",83&gt;=Projects!$C$14,83&lt;Projects!$C$14+Projects!$D$14),Projects!$B$14*(1-SUMPRODUCT((Curves!$B$2:$AO$2)*(COLUMN(Curves!$B$2:$AO$2)-COLUMN(Curves!$B$2)+1&lt;=83-Projects!$C$14+1))),0)</f>
        <v>0</v>
      </c>
      <c r="CH15" s="289" t="n">
        <f aca="false">IF(AND(Projects!$G$14="Yes",Projects!$F$14="Yes",84&gt;=Projects!$C$14,84&lt;Projects!$C$14+Projects!$D$14),Projects!$B$14*(1-SUMPRODUCT((Curves!$B$2:$AO$2)*(COLUMN(Curves!$B$2:$AO$2)-COLUMN(Curves!$B$2)+1&lt;=84-Projects!$C$14+1))),0)</f>
        <v>0</v>
      </c>
      <c r="CI15" s="289" t="n">
        <f aca="false">IF(AND(Projects!$G$14="Yes",Projects!$F$14="Yes",85&gt;=Projects!$C$14,85&lt;Projects!$C$14+Projects!$D$14),Projects!$B$14*(1-SUMPRODUCT((Curves!$B$2:$AO$2)*(COLUMN(Curves!$B$2:$AO$2)-COLUMN(Curves!$B$2)+1&lt;=85-Projects!$C$14+1))),0)</f>
        <v>0</v>
      </c>
      <c r="CJ15" s="289" t="n">
        <f aca="false">IF(AND(Projects!$G$14="Yes",Projects!$F$14="Yes",86&gt;=Projects!$C$14,86&lt;Projects!$C$14+Projects!$D$14),Projects!$B$14*(1-SUMPRODUCT((Curves!$B$2:$AO$2)*(COLUMN(Curves!$B$2:$AO$2)-COLUMN(Curves!$B$2)+1&lt;=86-Projects!$C$14+1))),0)</f>
        <v>0</v>
      </c>
      <c r="CK15" s="289" t="n">
        <f aca="false">IF(AND(Projects!$G$14="Yes",Projects!$F$14="Yes",87&gt;=Projects!$C$14,87&lt;Projects!$C$14+Projects!$D$14),Projects!$B$14*(1-SUMPRODUCT((Curves!$B$2:$AO$2)*(COLUMN(Curves!$B$2:$AO$2)-COLUMN(Curves!$B$2)+1&lt;=87-Projects!$C$14+1))),0)</f>
        <v>0</v>
      </c>
      <c r="CL15" s="289" t="n">
        <f aca="false">IF(AND(Projects!$G$14="Yes",Projects!$F$14="Yes",88&gt;=Projects!$C$14,88&lt;Projects!$C$14+Projects!$D$14),Projects!$B$14*(1-SUMPRODUCT((Curves!$B$2:$AO$2)*(COLUMN(Curves!$B$2:$AO$2)-COLUMN(Curves!$B$2)+1&lt;=88-Projects!$C$14+1))),0)</f>
        <v>0</v>
      </c>
      <c r="CM15" s="289" t="n">
        <f aca="false">IF(AND(Projects!$G$14="Yes",Projects!$F$14="Yes",89&gt;=Projects!$C$14,89&lt;Projects!$C$14+Projects!$D$14),Projects!$B$14*(1-SUMPRODUCT((Curves!$B$2:$AO$2)*(COLUMN(Curves!$B$2:$AO$2)-COLUMN(Curves!$B$2)+1&lt;=89-Projects!$C$14+1))),0)</f>
        <v>0</v>
      </c>
      <c r="CN15" s="289" t="n">
        <f aca="false">IF(AND(Projects!$G$14="Yes",Projects!$F$14="Yes",90&gt;=Projects!$C$14,90&lt;Projects!$C$14+Projects!$D$14),Projects!$B$14*(1-SUMPRODUCT((Curves!$B$2:$AO$2)*(COLUMN(Curves!$B$2:$AO$2)-COLUMN(Curves!$B$2)+1&lt;=90-Projects!$C$14+1))),0)</f>
        <v>0</v>
      </c>
      <c r="CO15" s="289" t="n">
        <f aca="false">IF(AND(Projects!$G$14="Yes",Projects!$F$14="Yes",91&gt;=Projects!$C$14,91&lt;Projects!$C$14+Projects!$D$14),Projects!$B$14*(1-SUMPRODUCT((Curves!$B$2:$AO$2)*(COLUMN(Curves!$B$2:$AO$2)-COLUMN(Curves!$B$2)+1&lt;=91-Projects!$C$14+1))),0)</f>
        <v>0</v>
      </c>
      <c r="CP15" s="289" t="n">
        <f aca="false">IF(AND(Projects!$G$14="Yes",Projects!$F$14="Yes",92&gt;=Projects!$C$14,92&lt;Projects!$C$14+Projects!$D$14),Projects!$B$14*(1-SUMPRODUCT((Curves!$B$2:$AO$2)*(COLUMN(Curves!$B$2:$AO$2)-COLUMN(Curves!$B$2)+1&lt;=92-Projects!$C$14+1))),0)</f>
        <v>0</v>
      </c>
      <c r="CQ15" s="28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5" t="n">
        <f aca="false">SUM(C8:C15)</f>
        <v>24716840.35</v>
      </c>
      <c r="D16" s="305" t="n">
        <f aca="false">SUM(D8:D15)</f>
        <v>22881539.17</v>
      </c>
      <c r="E16" s="305" t="n">
        <f aca="false">SUM(E8:E15)</f>
        <v>20879271.91</v>
      </c>
      <c r="F16" s="305" t="n">
        <f aca="false">SUM(F8:F15)</f>
        <v>18748519.38</v>
      </c>
      <c r="G16" s="305" t="n">
        <f aca="false">SUM(G8:G15)</f>
        <v>72424528.6691092</v>
      </c>
      <c r="H16" s="305" t="n">
        <f aca="false">SUM(H8:H15)</f>
        <v>82574509.2435969</v>
      </c>
      <c r="I16" s="305" t="n">
        <f aca="false">SUM(I8:I15)</f>
        <v>79199788.5696833</v>
      </c>
      <c r="J16" s="305" t="n">
        <f aca="false">SUM(J8:J15)</f>
        <v>76252151.8859288</v>
      </c>
      <c r="K16" s="305" t="n">
        <f aca="false">SUM(K8:K15)</f>
        <v>93841157.4299332</v>
      </c>
      <c r="L16" s="305" t="n">
        <f aca="false">SUM(L8:L15)</f>
        <v>89898626.9272109</v>
      </c>
      <c r="M16" s="305" t="n">
        <f aca="false">SUM(M8:M15)</f>
        <v>85937639.1724672</v>
      </c>
      <c r="N16" s="305" t="n">
        <f aca="false">SUM(N8:N15)</f>
        <v>81571690.8249268</v>
      </c>
      <c r="O16" s="305" t="n">
        <f aca="false">SUM(O8:O15)</f>
        <v>77189993.1819724</v>
      </c>
      <c r="P16" s="305" t="n">
        <f aca="false">SUM(P8:P15)</f>
        <v>72659481.0845662</v>
      </c>
      <c r="Q16" s="305" t="n">
        <f aca="false">SUM(Q8:Q15)</f>
        <v>67760044.5073005</v>
      </c>
      <c r="R16" s="305" t="n">
        <f aca="false">SUM(R8:R15)</f>
        <v>62158325.0219759</v>
      </c>
      <c r="S16" s="305" t="n">
        <f aca="false">SUM(S8:S15)</f>
        <v>57396770.6015363</v>
      </c>
      <c r="T16" s="305" t="n">
        <f aca="false">SUM(T8:T15)</f>
        <v>51446278.888487</v>
      </c>
      <c r="U16" s="305" t="n">
        <f aca="false">SUM(U8:U15)</f>
        <v>46780365.6765029</v>
      </c>
      <c r="V16" s="305" t="n">
        <f aca="false">SUM(V8:V15)</f>
        <v>40790146.837078</v>
      </c>
      <c r="W16" s="305" t="n">
        <f aca="false">SUM(W8:W15)</f>
        <v>36328367.21002</v>
      </c>
      <c r="X16" s="305" t="n">
        <f aca="false">SUM(X8:X15)</f>
        <v>31034262.3287835</v>
      </c>
      <c r="Y16" s="305" t="n">
        <f aca="false">SUM(Y8:Y15)</f>
        <v>26454845.4617335</v>
      </c>
      <c r="Z16" s="305" t="n">
        <f aca="false">SUM(Z8:Z15)</f>
        <v>18889856.7578</v>
      </c>
      <c r="AA16" s="305" t="n">
        <f aca="false">SUM(AA8:AA15)</f>
        <v>17014347.47159</v>
      </c>
      <c r="AB16" s="305" t="n">
        <f aca="false">SUM(AB8:AB15)</f>
        <v>15090948.540385</v>
      </c>
      <c r="AC16" s="305" t="n">
        <f aca="false">SUM(AC8:AC15)</f>
        <v>13375707.75</v>
      </c>
      <c r="AD16" s="305" t="n">
        <f aca="false">SUM(AD8:AD15)</f>
        <v>11951889.75</v>
      </c>
      <c r="AE16" s="305" t="n">
        <f aca="false">SUM(AE8:AE15)</f>
        <v>9479263.81</v>
      </c>
      <c r="AF16" s="305" t="n">
        <f aca="false">SUM(AF8:AF15)</f>
        <v>7184499.57</v>
      </c>
      <c r="AG16" s="305" t="n">
        <f aca="false">SUM(AG8:AG15)</f>
        <v>4941005.43</v>
      </c>
      <c r="AH16" s="305" t="n">
        <f aca="false">SUM(AH8:AH15)</f>
        <v>3716991.2</v>
      </c>
      <c r="AI16" s="305" t="n">
        <f aca="false">SUM(AI8:AI15)</f>
        <v>2700888.54</v>
      </c>
      <c r="AJ16" s="305" t="n">
        <f aca="false">SUM(AJ8:AJ15)</f>
        <v>1565814.84</v>
      </c>
      <c r="AK16" s="305" t="n">
        <f aca="false">SUM(AK8:AK15)</f>
        <v>331958.4</v>
      </c>
      <c r="AL16" s="305" t="n">
        <f aca="false">SUM(AL8:AL15)</f>
        <v>0</v>
      </c>
      <c r="AM16" s="305" t="n">
        <f aca="false">SUM(AM8:AM15)</f>
        <v>0</v>
      </c>
      <c r="AN16" s="305" t="n">
        <f aca="false">SUM(AN8:AN15)</f>
        <v>0</v>
      </c>
      <c r="AO16" s="305" t="n">
        <f aca="false">SUM(AO8:AO15)</f>
        <v>0</v>
      </c>
      <c r="AP16" s="305" t="n">
        <f aca="false">SUM(AP8:AP15)</f>
        <v>0</v>
      </c>
      <c r="AQ16" s="305" t="n">
        <f aca="false">SUM(AQ8:AQ15)</f>
        <v>0</v>
      </c>
      <c r="AR16" s="305" t="n">
        <f aca="false">SUM(AR8:AR15)</f>
        <v>0</v>
      </c>
      <c r="AS16" s="305" t="n">
        <f aca="false">SUM(AS8:AS15)</f>
        <v>0</v>
      </c>
      <c r="AT16" s="305" t="n">
        <f aca="false">SUM(AT8:AT15)</f>
        <v>0</v>
      </c>
      <c r="AU16" s="305" t="n">
        <f aca="false">SUM(AU8:AU15)</f>
        <v>0</v>
      </c>
      <c r="AV16" s="305" t="n">
        <f aca="false">SUM(AV8:AV15)</f>
        <v>0</v>
      </c>
      <c r="AW16" s="305" t="n">
        <f aca="false">SUM(AW8:AW15)</f>
        <v>0</v>
      </c>
      <c r="AX16" s="305" t="n">
        <f aca="false">SUM(AX8:AX15)</f>
        <v>0</v>
      </c>
      <c r="AY16" s="305" t="n">
        <f aca="false">SUM(AY8:AY15)</f>
        <v>0</v>
      </c>
      <c r="AZ16" s="305" t="n">
        <f aca="false">SUM(AZ8:AZ15)</f>
        <v>0</v>
      </c>
      <c r="BA16" s="305" t="n">
        <f aca="false">SUM(BA8:BA15)</f>
        <v>0</v>
      </c>
      <c r="BB16" s="305" t="n">
        <f aca="false">SUM(BB8:BB15)</f>
        <v>0</v>
      </c>
      <c r="BC16" s="305" t="n">
        <f aca="false">SUM(BC8:BC15)</f>
        <v>0</v>
      </c>
      <c r="BD16" s="305" t="n">
        <f aca="false">SUM(BD8:BD15)</f>
        <v>0</v>
      </c>
      <c r="BE16" s="305" t="n">
        <f aca="false">SUM(BE8:BE15)</f>
        <v>0</v>
      </c>
      <c r="BF16" s="305" t="n">
        <f aca="false">SUM(BF8:BF15)</f>
        <v>0</v>
      </c>
      <c r="BG16" s="305" t="n">
        <f aca="false">SUM(BG8:BG15)</f>
        <v>0</v>
      </c>
      <c r="BH16" s="305" t="n">
        <f aca="false">SUM(BH8:BH15)</f>
        <v>0</v>
      </c>
      <c r="BI16" s="305" t="n">
        <f aca="false">SUM(BI8:BI15)</f>
        <v>0</v>
      </c>
      <c r="BJ16" s="305" t="n">
        <f aca="false">SUM(BJ8:BJ15)</f>
        <v>0</v>
      </c>
      <c r="BK16" s="305" t="n">
        <f aca="false">SUM(BK8:BK15)</f>
        <v>0</v>
      </c>
      <c r="BL16" s="305" t="n">
        <f aca="false">SUM(BL8:BL15)</f>
        <v>0</v>
      </c>
      <c r="BM16" s="305" t="n">
        <f aca="false">SUM(BM8:BM15)</f>
        <v>0</v>
      </c>
      <c r="BN16" s="305" t="n">
        <f aca="false">SUM(BN8:BN15)</f>
        <v>0</v>
      </c>
      <c r="BO16" s="305" t="n">
        <f aca="false">SUM(BO8:BO15)</f>
        <v>0</v>
      </c>
      <c r="BP16" s="305" t="n">
        <f aca="false">SUM(BP8:BP15)</f>
        <v>0</v>
      </c>
      <c r="BQ16" s="305" t="n">
        <f aca="false">SUM(BQ8:BQ15)</f>
        <v>0</v>
      </c>
      <c r="BR16" s="305" t="n">
        <f aca="false">SUM(BR8:BR15)</f>
        <v>0</v>
      </c>
      <c r="BS16" s="305" t="n">
        <f aca="false">SUM(BS8:BS15)</f>
        <v>0</v>
      </c>
      <c r="BT16" s="305" t="n">
        <f aca="false">SUM(BT8:BT15)</f>
        <v>0</v>
      </c>
      <c r="BU16" s="305" t="n">
        <f aca="false">SUM(BU8:BU15)</f>
        <v>0</v>
      </c>
      <c r="BV16" s="305" t="n">
        <f aca="false">SUM(BV8:BV15)</f>
        <v>0</v>
      </c>
      <c r="BW16" s="305" t="n">
        <f aca="false">SUM(BW8:BW15)</f>
        <v>0</v>
      </c>
      <c r="BX16" s="305" t="n">
        <f aca="false">SUM(BX8:BX15)</f>
        <v>0</v>
      </c>
      <c r="BY16" s="305" t="n">
        <f aca="false">SUM(BY8:BY15)</f>
        <v>0</v>
      </c>
      <c r="BZ16" s="305" t="n">
        <f aca="false">SUM(BZ8:BZ15)</f>
        <v>0</v>
      </c>
      <c r="CA16" s="305" t="n">
        <f aca="false">SUM(CA8:CA15)</f>
        <v>0</v>
      </c>
      <c r="CB16" s="305" t="n">
        <f aca="false">SUM(CB8:CB15)</f>
        <v>0</v>
      </c>
      <c r="CC16" s="305" t="n">
        <f aca="false">SUM(CC8:CC15)</f>
        <v>0</v>
      </c>
      <c r="CD16" s="305" t="n">
        <f aca="false">SUM(CD8:CD15)</f>
        <v>0</v>
      </c>
      <c r="CE16" s="305" t="n">
        <f aca="false">SUM(CE8:CE15)</f>
        <v>0</v>
      </c>
      <c r="CF16" s="305" t="n">
        <f aca="false">SUM(CF8:CF15)</f>
        <v>0</v>
      </c>
      <c r="CG16" s="305" t="n">
        <f aca="false">SUM(CG8:CG15)</f>
        <v>0</v>
      </c>
      <c r="CH16" s="305" t="n">
        <f aca="false">SUM(CH8:CH15)</f>
        <v>0</v>
      </c>
      <c r="CI16" s="305" t="n">
        <f aca="false">SUM(CI8:CI15)</f>
        <v>0</v>
      </c>
      <c r="CJ16" s="305" t="n">
        <f aca="false">SUM(CJ8:CJ15)</f>
        <v>0</v>
      </c>
      <c r="CK16" s="305" t="n">
        <f aca="false">SUM(CK8:CK15)</f>
        <v>0</v>
      </c>
      <c r="CL16" s="305" t="n">
        <f aca="false">SUM(CL8:CL15)</f>
        <v>0</v>
      </c>
      <c r="CM16" s="305" t="n">
        <f aca="false">SUM(CM8:CM15)</f>
        <v>0</v>
      </c>
      <c r="CN16" s="305" t="n">
        <f aca="false">SUM(CN8:CN15)</f>
        <v>0</v>
      </c>
      <c r="CO16" s="305" t="n">
        <f aca="false">SUM(CO8:CO15)</f>
        <v>0</v>
      </c>
      <c r="CP16" s="305" t="n">
        <f aca="false">SUM(CP8:CP15)</f>
        <v>0</v>
      </c>
      <c r="CQ16" s="305" t="n">
        <f aca="false">SUM(CQ8:CQ15)</f>
        <v>0</v>
      </c>
    </row>
    <row r="18" customFormat="false" ht="15" hidden="false" customHeight="true" outlineLevel="0" collapsed="false">
      <c r="A18" s="23" t="s">
        <v>1149</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1150</v>
      </c>
      <c r="C19" s="289" t="n">
        <f aca="false">IF(Projects!$G$7="Yes",Projects!$B$7*Assumptions!$B$47+Assumptions!$B$53*Assumptions!$B$48,0)</f>
        <v>577947.65</v>
      </c>
      <c r="D19" s="289" t="n">
        <f aca="false">C21</f>
        <v>577947.65</v>
      </c>
      <c r="E19" s="289" t="n">
        <f aca="false">D21</f>
        <v>577947.65</v>
      </c>
      <c r="F19" s="289" t="n">
        <f aca="false">E21</f>
        <v>577947.65</v>
      </c>
      <c r="G19" s="289" t="n">
        <f aca="false">F21</f>
        <v>577947.65</v>
      </c>
      <c r="H19" s="289" t="n">
        <f aca="false">G21</f>
        <v>577947.65</v>
      </c>
      <c r="I19" s="289" t="n">
        <f aca="false">H21</f>
        <v>577947.65</v>
      </c>
      <c r="J19" s="289" t="n">
        <f aca="false">I21</f>
        <v>577947.65</v>
      </c>
      <c r="K19" s="289" t="n">
        <f aca="false">J21</f>
        <v>577947.65</v>
      </c>
      <c r="L19" s="289" t="n">
        <f aca="false">K21</f>
        <v>577947.65</v>
      </c>
      <c r="M19" s="289" t="n">
        <f aca="false">L21</f>
        <v>577947.65</v>
      </c>
      <c r="N19" s="289" t="n">
        <f aca="false">M21</f>
        <v>577947.65</v>
      </c>
      <c r="O19" s="289" t="n">
        <f aca="false">N21</f>
        <v>577947.65</v>
      </c>
      <c r="P19" s="289" t="n">
        <f aca="false">O21</f>
        <v>577947.65</v>
      </c>
      <c r="Q19" s="289" t="n">
        <f aca="false">P21</f>
        <v>577947.65</v>
      </c>
      <c r="R19" s="289" t="n">
        <f aca="false">Q21</f>
        <v>577947.65</v>
      </c>
      <c r="S19" s="289" t="n">
        <f aca="false">R21</f>
        <v>577947.65</v>
      </c>
      <c r="T19" s="289" t="n">
        <f aca="false">S21</f>
        <v>577947.65</v>
      </c>
      <c r="U19" s="289" t="n">
        <f aca="false">T21</f>
        <v>577947.65</v>
      </c>
      <c r="V19" s="289" t="n">
        <f aca="false">U21</f>
        <v>577947.65</v>
      </c>
      <c r="W19" s="289" t="n">
        <f aca="false">V21</f>
        <v>577947.65</v>
      </c>
      <c r="X19" s="289" t="n">
        <f aca="false">W21</f>
        <v>577947.65</v>
      </c>
      <c r="Y19" s="289" t="n">
        <f aca="false">X21</f>
        <v>577947.65</v>
      </c>
      <c r="Z19" s="289" t="n">
        <f aca="false">Y21</f>
        <v>577947.65</v>
      </c>
      <c r="AA19" s="289" t="n">
        <f aca="false">Z21</f>
        <v>577947.65</v>
      </c>
      <c r="AB19" s="289" t="n">
        <f aca="false">AA21</f>
        <v>577947.65</v>
      </c>
      <c r="AC19" s="289" t="n">
        <f aca="false">AB21</f>
        <v>577947.65</v>
      </c>
      <c r="AD19" s="289" t="n">
        <f aca="false">AC21</f>
        <v>577947.65</v>
      </c>
      <c r="AE19" s="289" t="n">
        <f aca="false">AD21</f>
        <v>577947.65</v>
      </c>
      <c r="AF19" s="289" t="n">
        <f aca="false">AE21</f>
        <v>577947.65</v>
      </c>
      <c r="AG19" s="289" t="n">
        <f aca="false">AF21</f>
        <v>577947.65</v>
      </c>
      <c r="AH19" s="289" t="n">
        <f aca="false">AG21</f>
        <v>577947.65</v>
      </c>
      <c r="AI19" s="289" t="n">
        <f aca="false">AH21</f>
        <v>577947.65</v>
      </c>
      <c r="AJ19" s="289" t="n">
        <f aca="false">AI21</f>
        <v>577947.65</v>
      </c>
      <c r="AK19" s="289" t="n">
        <f aca="false">AJ21</f>
        <v>577947.65</v>
      </c>
      <c r="AL19" s="289" t="n">
        <f aca="false">AK21</f>
        <v>577947.65</v>
      </c>
      <c r="AM19" s="289" t="n">
        <f aca="false">AL21</f>
        <v>577947.65</v>
      </c>
      <c r="AN19" s="289" t="n">
        <f aca="false">AM21</f>
        <v>577947.65</v>
      </c>
      <c r="AO19" s="289" t="n">
        <f aca="false">AN21</f>
        <v>577947.65</v>
      </c>
      <c r="AP19" s="289" t="n">
        <f aca="false">AO21</f>
        <v>577947.65</v>
      </c>
      <c r="AQ19" s="289" t="n">
        <f aca="false">AP21</f>
        <v>577947.65</v>
      </c>
      <c r="AR19" s="289" t="n">
        <f aca="false">AQ21</f>
        <v>577947.65</v>
      </c>
      <c r="AS19" s="289" t="n">
        <f aca="false">AR21</f>
        <v>496264.65</v>
      </c>
      <c r="AT19" s="289" t="n">
        <f aca="false">AS21</f>
        <v>496264.65</v>
      </c>
      <c r="AU19" s="289" t="n">
        <f aca="false">AT21</f>
        <v>496264.65</v>
      </c>
      <c r="AV19" s="289" t="n">
        <f aca="false">AU21</f>
        <v>414582.65</v>
      </c>
      <c r="AW19" s="289" t="n">
        <f aca="false">AV21</f>
        <v>414582.65</v>
      </c>
      <c r="AX19" s="289" t="n">
        <f aca="false">AW21</f>
        <v>414582.65</v>
      </c>
      <c r="AY19" s="289" t="n">
        <f aca="false">AX21</f>
        <v>332900.65</v>
      </c>
      <c r="AZ19" s="289" t="n">
        <f aca="false">AY21</f>
        <v>332900.65</v>
      </c>
      <c r="BA19" s="289" t="n">
        <f aca="false">AZ21</f>
        <v>332900.65</v>
      </c>
      <c r="BB19" s="289" t="n">
        <f aca="false">BA21</f>
        <v>251218.65</v>
      </c>
      <c r="BC19" s="289" t="n">
        <f aca="false">BB21</f>
        <v>251218.65</v>
      </c>
      <c r="BD19" s="289" t="n">
        <f aca="false">BC21</f>
        <v>251218.65</v>
      </c>
      <c r="BE19" s="289" t="n">
        <f aca="false">BD21</f>
        <v>192040.65</v>
      </c>
      <c r="BF19" s="289" t="n">
        <f aca="false">BE21</f>
        <v>192040.65</v>
      </c>
      <c r="BG19" s="289" t="n">
        <f aca="false">BF21</f>
        <v>192040.65</v>
      </c>
      <c r="BH19" s="289" t="n">
        <f aca="false">BG21</f>
        <v>132864.65</v>
      </c>
      <c r="BI19" s="289" t="n">
        <f aca="false">BH21</f>
        <v>132864.65</v>
      </c>
      <c r="BJ19" s="289" t="n">
        <f aca="false">BI21</f>
        <v>132864.65</v>
      </c>
      <c r="BK19" s="289" t="n">
        <f aca="false">BJ21</f>
        <v>73688.65</v>
      </c>
      <c r="BL19" s="289" t="n">
        <f aca="false">BK21</f>
        <v>73688.65</v>
      </c>
      <c r="BM19" s="289" t="n">
        <f aca="false">BL21</f>
        <v>73688.65</v>
      </c>
      <c r="BN19" s="289" t="n">
        <f aca="false">BM21</f>
        <v>14512.65</v>
      </c>
      <c r="BO19" s="289" t="n">
        <f aca="false">BN21</f>
        <v>14512.65</v>
      </c>
      <c r="BP19" s="289" t="n">
        <f aca="false">BO21</f>
        <v>14512.65</v>
      </c>
      <c r="BQ19" s="289" t="n">
        <f aca="false">BP21</f>
        <v>0</v>
      </c>
      <c r="BR19" s="289" t="n">
        <f aca="false">BQ21</f>
        <v>0</v>
      </c>
      <c r="BS19" s="289" t="n">
        <f aca="false">BR21</f>
        <v>0</v>
      </c>
      <c r="BT19" s="289" t="n">
        <f aca="false">BS21</f>
        <v>0</v>
      </c>
      <c r="BU19" s="289" t="n">
        <f aca="false">BT21</f>
        <v>0</v>
      </c>
      <c r="BV19" s="289" t="n">
        <f aca="false">BU21</f>
        <v>0</v>
      </c>
      <c r="BW19" s="289" t="n">
        <f aca="false">BV21</f>
        <v>0</v>
      </c>
      <c r="BX19" s="289" t="n">
        <f aca="false">BW21</f>
        <v>0</v>
      </c>
      <c r="BY19" s="289" t="n">
        <f aca="false">BX21</f>
        <v>0</v>
      </c>
      <c r="BZ19" s="289" t="n">
        <f aca="false">BY21</f>
        <v>0</v>
      </c>
      <c r="CA19" s="289" t="n">
        <f aca="false">BZ21</f>
        <v>0</v>
      </c>
      <c r="CB19" s="289" t="n">
        <f aca="false">CA21</f>
        <v>0</v>
      </c>
      <c r="CC19" s="289" t="n">
        <f aca="false">CB21</f>
        <v>0</v>
      </c>
      <c r="CD19" s="289" t="n">
        <f aca="false">CC21</f>
        <v>0</v>
      </c>
      <c r="CE19" s="289" t="n">
        <f aca="false">CD21</f>
        <v>0</v>
      </c>
      <c r="CF19" s="289" t="n">
        <f aca="false">CE21</f>
        <v>0</v>
      </c>
      <c r="CG19" s="289" t="n">
        <f aca="false">CF21</f>
        <v>0</v>
      </c>
      <c r="CH19" s="289" t="n">
        <f aca="false">CG21</f>
        <v>0</v>
      </c>
      <c r="CI19" s="289" t="n">
        <f aca="false">CH21</f>
        <v>0</v>
      </c>
      <c r="CJ19" s="289" t="n">
        <f aca="false">CI21</f>
        <v>0</v>
      </c>
      <c r="CK19" s="289" t="n">
        <f aca="false">CJ21</f>
        <v>0</v>
      </c>
      <c r="CL19" s="289" t="n">
        <f aca="false">CK21</f>
        <v>0</v>
      </c>
      <c r="CM19" s="289" t="n">
        <f aca="false">CL21</f>
        <v>0</v>
      </c>
      <c r="CN19" s="289" t="n">
        <f aca="false">CM21</f>
        <v>0</v>
      </c>
      <c r="CO19" s="289" t="n">
        <f aca="false">CN21</f>
        <v>0</v>
      </c>
      <c r="CP19" s="289" t="n">
        <f aca="false">CO21</f>
        <v>0</v>
      </c>
      <c r="CQ19" s="289" t="n">
        <f aca="false">CP21</f>
        <v>0</v>
      </c>
    </row>
    <row r="20" customFormat="false" ht="15" hidden="false" customHeight="true" outlineLevel="0" collapsed="false">
      <c r="A20" s="306" t="s">
        <v>1151</v>
      </c>
      <c r="C20" s="307" t="n">
        <f aca="false">MIN(C19,Model!E254)</f>
        <v>0</v>
      </c>
      <c r="D20" s="307" t="n">
        <f aca="false">MIN(D19,Model!F254)</f>
        <v>0</v>
      </c>
      <c r="E20" s="307" t="n">
        <f aca="false">MIN(E19,Model!G254)</f>
        <v>0</v>
      </c>
      <c r="F20" s="307" t="n">
        <f aca="false">MIN(F19,Model!H254)</f>
        <v>0</v>
      </c>
      <c r="G20" s="307" t="n">
        <f aca="false">IF(ISBLANK(Actuals!J109),MIN(G19,Model!I254),-Actuals!J109)</f>
        <v>-0</v>
      </c>
      <c r="H20" s="307" t="n">
        <f aca="false">MIN(H19,Model!J254)</f>
        <v>0</v>
      </c>
      <c r="I20" s="307" t="n">
        <f aca="false">MIN(I19,Model!K254)</f>
        <v>0</v>
      </c>
      <c r="J20" s="307" t="n">
        <f aca="false">MIN(J19,Model!L254)</f>
        <v>0</v>
      </c>
      <c r="K20" s="307" t="n">
        <f aca="false">MIN(K19,Model!M254)</f>
        <v>0</v>
      </c>
      <c r="L20" s="307" t="n">
        <f aca="false">MIN(L19,Model!N254)</f>
        <v>0</v>
      </c>
      <c r="M20" s="307" t="n">
        <f aca="false">MIN(M19,Model!O254)</f>
        <v>0</v>
      </c>
      <c r="N20" s="307" t="n">
        <f aca="false">MIN(N19,Model!P254)</f>
        <v>0</v>
      </c>
      <c r="O20" s="307" t="n">
        <f aca="false">MIN(O19,Model!Q254)</f>
        <v>0</v>
      </c>
      <c r="P20" s="307" t="n">
        <f aca="false">MIN(P19,Model!R254)</f>
        <v>0</v>
      </c>
      <c r="Q20" s="307" t="n">
        <f aca="false">MIN(Q19,Model!S254)</f>
        <v>0</v>
      </c>
      <c r="R20" s="307" t="n">
        <f aca="false">MIN(R19,Model!T254)</f>
        <v>0</v>
      </c>
      <c r="S20" s="307" t="n">
        <f aca="false">MIN(S19,Model!U254)</f>
        <v>0</v>
      </c>
      <c r="T20" s="307" t="n">
        <f aca="false">MIN(T19,Model!V254)</f>
        <v>0</v>
      </c>
      <c r="U20" s="307" t="n">
        <f aca="false">MIN(U19,Model!W254)</f>
        <v>0</v>
      </c>
      <c r="V20" s="307" t="n">
        <f aca="false">MIN(V19,Model!X254)</f>
        <v>0</v>
      </c>
      <c r="W20" s="307" t="n">
        <f aca="false">MIN(W19,Model!Y254)</f>
        <v>0</v>
      </c>
      <c r="X20" s="307" t="n">
        <f aca="false">MIN(X19,Model!Z254)</f>
        <v>0</v>
      </c>
      <c r="Y20" s="307" t="n">
        <f aca="false">MIN(Y19,Model!AA254)</f>
        <v>0</v>
      </c>
      <c r="Z20" s="307" t="n">
        <f aca="false">MIN(Z19,Model!AB254)</f>
        <v>0</v>
      </c>
      <c r="AA20" s="307" t="n">
        <f aca="false">MIN(AA19,Model!AC254)</f>
        <v>0</v>
      </c>
      <c r="AB20" s="307" t="n">
        <f aca="false">MIN(AB19,Model!AD254)</f>
        <v>0</v>
      </c>
      <c r="AC20" s="307" t="n">
        <f aca="false">MIN(AC19,Model!AE254)</f>
        <v>0</v>
      </c>
      <c r="AD20" s="307" t="n">
        <f aca="false">MIN(AD19,Model!AF254)</f>
        <v>0</v>
      </c>
      <c r="AE20" s="307" t="n">
        <f aca="false">MIN(AE19,Model!AG254)</f>
        <v>0</v>
      </c>
      <c r="AF20" s="307" t="n">
        <f aca="false">MIN(AF19,Model!AH254)</f>
        <v>0</v>
      </c>
      <c r="AG20" s="307" t="n">
        <f aca="false">MIN(AG19,Model!AI254)</f>
        <v>0</v>
      </c>
      <c r="AH20" s="307" t="n">
        <f aca="false">MIN(AH19,Model!AJ254)</f>
        <v>0</v>
      </c>
      <c r="AI20" s="307" t="n">
        <f aca="false">MIN(AI19,Model!AK254)</f>
        <v>0</v>
      </c>
      <c r="AJ20" s="307" t="n">
        <f aca="false">MIN(AJ19,Model!AL254)</f>
        <v>0</v>
      </c>
      <c r="AK20" s="307" t="n">
        <f aca="false">MIN(AK19,Model!AM254)</f>
        <v>0</v>
      </c>
      <c r="AL20" s="307" t="n">
        <f aca="false">MIN(AL19,Model!AN254)</f>
        <v>0</v>
      </c>
      <c r="AM20" s="307" t="n">
        <f aca="false">MIN(AM19,Model!AO254)</f>
        <v>0</v>
      </c>
      <c r="AN20" s="307" t="n">
        <f aca="false">MIN(AN19,Model!AP254)</f>
        <v>0</v>
      </c>
      <c r="AO20" s="307" t="n">
        <f aca="false">MIN(AO19,Model!AQ254)</f>
        <v>0</v>
      </c>
      <c r="AP20" s="307" t="n">
        <f aca="false">MIN(AP19,Model!AR254)</f>
        <v>0</v>
      </c>
      <c r="AQ20" s="307" t="n">
        <f aca="false">MIN(AQ19,Model!AS254)</f>
        <v>0</v>
      </c>
      <c r="AR20" s="307" t="n">
        <f aca="false">MIN(AR19,Model!AT254)</f>
        <v>81683</v>
      </c>
      <c r="AS20" s="307" t="n">
        <f aca="false">MIN(AS19,Model!AU254)</f>
        <v>0</v>
      </c>
      <c r="AT20" s="307" t="n">
        <f aca="false">MIN(AT19,Model!AV254)</f>
        <v>0</v>
      </c>
      <c r="AU20" s="307" t="n">
        <f aca="false">MIN(AU19,Model!AW254)</f>
        <v>81682</v>
      </c>
      <c r="AV20" s="307" t="n">
        <f aca="false">MIN(AV19,Model!AX254)</f>
        <v>0</v>
      </c>
      <c r="AW20" s="307" t="n">
        <f aca="false">MIN(AW19,Model!AY254)</f>
        <v>0</v>
      </c>
      <c r="AX20" s="307" t="n">
        <f aca="false">MIN(AX19,Model!AZ254)</f>
        <v>81682</v>
      </c>
      <c r="AY20" s="307" t="n">
        <f aca="false">MIN(AY19,Model!BA254)</f>
        <v>0</v>
      </c>
      <c r="AZ20" s="307" t="n">
        <f aca="false">MIN(AZ19,Model!BB254)</f>
        <v>0</v>
      </c>
      <c r="BA20" s="307" t="n">
        <f aca="false">MIN(BA19,Model!BC254)</f>
        <v>81682</v>
      </c>
      <c r="BB20" s="307" t="n">
        <f aca="false">MIN(BB19,Model!BD254)</f>
        <v>0</v>
      </c>
      <c r="BC20" s="307" t="n">
        <f aca="false">MIN(BC19,Model!BE254)</f>
        <v>0</v>
      </c>
      <c r="BD20" s="307" t="n">
        <f aca="false">MIN(BD19,Model!BF254)</f>
        <v>59178</v>
      </c>
      <c r="BE20" s="307" t="n">
        <f aca="false">MIN(BE19,Model!BG254)</f>
        <v>0</v>
      </c>
      <c r="BF20" s="307" t="n">
        <f aca="false">MIN(BF19,Model!BH254)</f>
        <v>0</v>
      </c>
      <c r="BG20" s="307" t="n">
        <f aca="false">MIN(BG19,Model!BI254)</f>
        <v>59176</v>
      </c>
      <c r="BH20" s="307" t="n">
        <f aca="false">MIN(BH19,Model!BJ254)</f>
        <v>0</v>
      </c>
      <c r="BI20" s="307" t="n">
        <f aca="false">MIN(BI19,Model!BK254)</f>
        <v>0</v>
      </c>
      <c r="BJ20" s="307" t="n">
        <f aca="false">MIN(BJ19,Model!BL254)</f>
        <v>59176</v>
      </c>
      <c r="BK20" s="307" t="n">
        <f aca="false">MIN(BK19,Model!BM254)</f>
        <v>0</v>
      </c>
      <c r="BL20" s="307" t="n">
        <f aca="false">MIN(BL19,Model!BN254)</f>
        <v>0</v>
      </c>
      <c r="BM20" s="307" t="n">
        <f aca="false">MIN(BM19,Model!BO254)</f>
        <v>59176</v>
      </c>
      <c r="BN20" s="307" t="n">
        <f aca="false">MIN(BN19,Model!BP254)</f>
        <v>0</v>
      </c>
      <c r="BO20" s="307" t="n">
        <f aca="false">MIN(BO19,Model!BQ254)</f>
        <v>0</v>
      </c>
      <c r="BP20" s="307" t="n">
        <f aca="false">MIN(BP19,Model!BR254)</f>
        <v>14512.65</v>
      </c>
      <c r="BQ20" s="307" t="n">
        <f aca="false">MIN(BQ19,Model!BS254)</f>
        <v>0</v>
      </c>
      <c r="BR20" s="307" t="n">
        <f aca="false">MIN(BR19,Model!BT254)</f>
        <v>0</v>
      </c>
      <c r="BS20" s="307" t="n">
        <f aca="false">MIN(BS19,Model!BU254)</f>
        <v>0</v>
      </c>
      <c r="BT20" s="307" t="n">
        <f aca="false">MIN(BT19,Model!BV254)</f>
        <v>0</v>
      </c>
      <c r="BU20" s="307" t="n">
        <f aca="false">MIN(BU19,Model!BW254)</f>
        <v>0</v>
      </c>
      <c r="BV20" s="307" t="n">
        <f aca="false">MIN(BV19,Model!BX254)</f>
        <v>0</v>
      </c>
      <c r="BW20" s="307" t="n">
        <f aca="false">MIN(BW19,Model!BY254)</f>
        <v>0</v>
      </c>
      <c r="BX20" s="307" t="n">
        <f aca="false">MIN(BX19,Model!BZ254)</f>
        <v>0</v>
      </c>
      <c r="BY20" s="307" t="n">
        <f aca="false">MIN(BY19,Model!CA254)</f>
        <v>0</v>
      </c>
      <c r="BZ20" s="307" t="n">
        <f aca="false">MIN(BZ19,Model!CB254)</f>
        <v>0</v>
      </c>
      <c r="CA20" s="307" t="n">
        <f aca="false">MIN(CA19,Model!CC254)</f>
        <v>0</v>
      </c>
      <c r="CB20" s="307" t="n">
        <f aca="false">MIN(CB19,Model!CD254)</f>
        <v>0</v>
      </c>
      <c r="CC20" s="307" t="n">
        <f aca="false">MIN(CC19,Model!CE254)</f>
        <v>0</v>
      </c>
      <c r="CD20" s="307" t="n">
        <f aca="false">MIN(CD19,Model!CF254)</f>
        <v>0</v>
      </c>
      <c r="CE20" s="307" t="n">
        <f aca="false">MIN(CE19,Model!CG254)</f>
        <v>0</v>
      </c>
      <c r="CF20" s="307" t="n">
        <f aca="false">MIN(CF19,Model!CH254)</f>
        <v>0</v>
      </c>
      <c r="CG20" s="307" t="n">
        <f aca="false">MIN(CG19,Model!CI254)</f>
        <v>0</v>
      </c>
      <c r="CH20" s="307" t="n">
        <f aca="false">MIN(CH19,Model!CJ254)</f>
        <v>0</v>
      </c>
      <c r="CI20" s="307" t="n">
        <f aca="false">MIN(CI19,Model!CK254)</f>
        <v>0</v>
      </c>
      <c r="CJ20" s="307" t="n">
        <f aca="false">MIN(CJ19,Model!CL254)</f>
        <v>0</v>
      </c>
      <c r="CK20" s="307" t="n">
        <f aca="false">MIN(CK19,Model!CM254)</f>
        <v>0</v>
      </c>
      <c r="CL20" s="307" t="n">
        <f aca="false">MIN(CL19,Model!CN254)</f>
        <v>0</v>
      </c>
      <c r="CM20" s="307" t="n">
        <f aca="false">MIN(CM19,Model!CO254)</f>
        <v>0</v>
      </c>
      <c r="CN20" s="307" t="n">
        <f aca="false">MIN(CN19,Model!CP254)</f>
        <v>0</v>
      </c>
      <c r="CO20" s="307" t="n">
        <f aca="false">MIN(CO19,Model!CQ254)</f>
        <v>0</v>
      </c>
      <c r="CP20" s="307" t="n">
        <f aca="false">MIN(CP19,Model!CR254)</f>
        <v>0</v>
      </c>
      <c r="CQ20" s="307" t="n">
        <f aca="false">MIN(CQ19,Model!CS254)</f>
        <v>0</v>
      </c>
    </row>
    <row r="21" customFormat="false" ht="15" hidden="false" customHeight="true" outlineLevel="0" collapsed="false">
      <c r="A21" s="94" t="s">
        <v>1152</v>
      </c>
      <c r="C21" s="305" t="n">
        <f aca="false">MAX(0,C19-C20)</f>
        <v>577947.65</v>
      </c>
      <c r="D21" s="305" t="n">
        <f aca="false">MAX(0,D19-D20)</f>
        <v>577947.65</v>
      </c>
      <c r="E21" s="305" t="n">
        <f aca="false">MAX(0,E19-E20)</f>
        <v>577947.65</v>
      </c>
      <c r="F21" s="305" t="n">
        <f aca="false">MAX(0,F19-F20)</f>
        <v>577947.65</v>
      </c>
      <c r="G21" s="305" t="n">
        <f aca="false">MAX(0,G19-G20)</f>
        <v>577947.65</v>
      </c>
      <c r="H21" s="305" t="n">
        <f aca="false">MAX(0,H19-H20)</f>
        <v>577947.65</v>
      </c>
      <c r="I21" s="305" t="n">
        <f aca="false">MAX(0,I19-I20)</f>
        <v>577947.65</v>
      </c>
      <c r="J21" s="305" t="n">
        <f aca="false">MAX(0,J19-J20)</f>
        <v>577947.65</v>
      </c>
      <c r="K21" s="305" t="n">
        <f aca="false">MAX(0,K19-K20)</f>
        <v>577947.65</v>
      </c>
      <c r="L21" s="305" t="n">
        <f aca="false">MAX(0,L19-L20)</f>
        <v>577947.65</v>
      </c>
      <c r="M21" s="305" t="n">
        <f aca="false">MAX(0,M19-M20)</f>
        <v>577947.65</v>
      </c>
      <c r="N21" s="305" t="n">
        <f aca="false">MAX(0,N19-N20)</f>
        <v>577947.65</v>
      </c>
      <c r="O21" s="305" t="n">
        <f aca="false">MAX(0,O19-O20)</f>
        <v>577947.65</v>
      </c>
      <c r="P21" s="305" t="n">
        <f aca="false">MAX(0,P19-P20)</f>
        <v>577947.65</v>
      </c>
      <c r="Q21" s="305" t="n">
        <f aca="false">MAX(0,Q19-Q20)</f>
        <v>577947.65</v>
      </c>
      <c r="R21" s="305" t="n">
        <f aca="false">MAX(0,R19-R20)</f>
        <v>577947.65</v>
      </c>
      <c r="S21" s="305" t="n">
        <f aca="false">MAX(0,S19-S20)</f>
        <v>577947.65</v>
      </c>
      <c r="T21" s="305" t="n">
        <f aca="false">MAX(0,T19-T20)</f>
        <v>577947.65</v>
      </c>
      <c r="U21" s="305" t="n">
        <f aca="false">MAX(0,U19-U20)</f>
        <v>577947.65</v>
      </c>
      <c r="V21" s="305" t="n">
        <f aca="false">MAX(0,V19-V20)</f>
        <v>577947.65</v>
      </c>
      <c r="W21" s="305" t="n">
        <f aca="false">MAX(0,W19-W20)</f>
        <v>577947.65</v>
      </c>
      <c r="X21" s="305" t="n">
        <f aca="false">MAX(0,X19-X20)</f>
        <v>577947.65</v>
      </c>
      <c r="Y21" s="305" t="n">
        <f aca="false">MAX(0,Y19-Y20)</f>
        <v>577947.65</v>
      </c>
      <c r="Z21" s="305" t="n">
        <f aca="false">MAX(0,Z19-Z20)</f>
        <v>577947.65</v>
      </c>
      <c r="AA21" s="305" t="n">
        <f aca="false">MAX(0,AA19-AA20)</f>
        <v>577947.65</v>
      </c>
      <c r="AB21" s="305" t="n">
        <f aca="false">MAX(0,AB19-AB20)</f>
        <v>577947.65</v>
      </c>
      <c r="AC21" s="305" t="n">
        <f aca="false">MAX(0,AC19-AC20)</f>
        <v>577947.65</v>
      </c>
      <c r="AD21" s="305" t="n">
        <f aca="false">MAX(0,AD19-AD20)</f>
        <v>577947.65</v>
      </c>
      <c r="AE21" s="305" t="n">
        <f aca="false">MAX(0,AE19-AE20)</f>
        <v>577947.65</v>
      </c>
      <c r="AF21" s="305" t="n">
        <f aca="false">MAX(0,AF19-AF20)</f>
        <v>577947.65</v>
      </c>
      <c r="AG21" s="305" t="n">
        <f aca="false">MAX(0,AG19-AG20)</f>
        <v>577947.65</v>
      </c>
      <c r="AH21" s="305" t="n">
        <f aca="false">MAX(0,AH19-AH20)</f>
        <v>577947.65</v>
      </c>
      <c r="AI21" s="305" t="n">
        <f aca="false">MAX(0,AI19-AI20)</f>
        <v>577947.65</v>
      </c>
      <c r="AJ21" s="305" t="n">
        <f aca="false">MAX(0,AJ19-AJ20)</f>
        <v>577947.65</v>
      </c>
      <c r="AK21" s="305" t="n">
        <f aca="false">MAX(0,AK19-AK20)</f>
        <v>577947.65</v>
      </c>
      <c r="AL21" s="305" t="n">
        <f aca="false">MAX(0,AL19-AL20)</f>
        <v>577947.65</v>
      </c>
      <c r="AM21" s="305" t="n">
        <f aca="false">MAX(0,AM19-AM20)</f>
        <v>577947.65</v>
      </c>
      <c r="AN21" s="305" t="n">
        <f aca="false">MAX(0,AN19-AN20)</f>
        <v>577947.65</v>
      </c>
      <c r="AO21" s="305" t="n">
        <f aca="false">MAX(0,AO19-AO20)</f>
        <v>577947.65</v>
      </c>
      <c r="AP21" s="305" t="n">
        <f aca="false">MAX(0,AP19-AP20)</f>
        <v>577947.65</v>
      </c>
      <c r="AQ21" s="305" t="n">
        <f aca="false">MAX(0,AQ19-AQ20)</f>
        <v>577947.65</v>
      </c>
      <c r="AR21" s="305" t="n">
        <f aca="false">MAX(0,AR19-AR20)</f>
        <v>496264.65</v>
      </c>
      <c r="AS21" s="305" t="n">
        <f aca="false">MAX(0,AS19-AS20)</f>
        <v>496264.65</v>
      </c>
      <c r="AT21" s="305" t="n">
        <f aca="false">MAX(0,AT19-AT20)</f>
        <v>496264.65</v>
      </c>
      <c r="AU21" s="305" t="n">
        <f aca="false">MAX(0,AU19-AU20)</f>
        <v>414582.65</v>
      </c>
      <c r="AV21" s="305" t="n">
        <f aca="false">MAX(0,AV19-AV20)</f>
        <v>414582.65</v>
      </c>
      <c r="AW21" s="305" t="n">
        <f aca="false">MAX(0,AW19-AW20)</f>
        <v>414582.65</v>
      </c>
      <c r="AX21" s="305" t="n">
        <f aca="false">MAX(0,AX19-AX20)</f>
        <v>332900.65</v>
      </c>
      <c r="AY21" s="305" t="n">
        <f aca="false">MAX(0,AY19-AY20)</f>
        <v>332900.65</v>
      </c>
      <c r="AZ21" s="305" t="n">
        <f aca="false">MAX(0,AZ19-AZ20)</f>
        <v>332900.65</v>
      </c>
      <c r="BA21" s="305" t="n">
        <f aca="false">MAX(0,BA19-BA20)</f>
        <v>251218.65</v>
      </c>
      <c r="BB21" s="305" t="n">
        <f aca="false">MAX(0,BB19-BB20)</f>
        <v>251218.65</v>
      </c>
      <c r="BC21" s="305" t="n">
        <f aca="false">MAX(0,BC19-BC20)</f>
        <v>251218.65</v>
      </c>
      <c r="BD21" s="305" t="n">
        <f aca="false">MAX(0,BD19-BD20)</f>
        <v>192040.65</v>
      </c>
      <c r="BE21" s="305" t="n">
        <f aca="false">MAX(0,BE19-BE20)</f>
        <v>192040.65</v>
      </c>
      <c r="BF21" s="305" t="n">
        <f aca="false">MAX(0,BF19-BF20)</f>
        <v>192040.65</v>
      </c>
      <c r="BG21" s="305" t="n">
        <f aca="false">MAX(0,BG19-BG20)</f>
        <v>132864.65</v>
      </c>
      <c r="BH21" s="305" t="n">
        <f aca="false">MAX(0,BH19-BH20)</f>
        <v>132864.65</v>
      </c>
      <c r="BI21" s="305" t="n">
        <f aca="false">MAX(0,BI19-BI20)</f>
        <v>132864.65</v>
      </c>
      <c r="BJ21" s="305" t="n">
        <f aca="false">MAX(0,BJ19-BJ20)</f>
        <v>73688.65</v>
      </c>
      <c r="BK21" s="305" t="n">
        <f aca="false">MAX(0,BK19-BK20)</f>
        <v>73688.65</v>
      </c>
      <c r="BL21" s="305" t="n">
        <f aca="false">MAX(0,BL19-BL20)</f>
        <v>73688.65</v>
      </c>
      <c r="BM21" s="305" t="n">
        <f aca="false">MAX(0,BM19-BM20)</f>
        <v>14512.65</v>
      </c>
      <c r="BN21" s="305" t="n">
        <f aca="false">MAX(0,BN19-BN20)</f>
        <v>14512.65</v>
      </c>
      <c r="BO21" s="305" t="n">
        <f aca="false">MAX(0,BO19-BO20)</f>
        <v>14512.65</v>
      </c>
      <c r="BP21" s="305" t="n">
        <f aca="false">MAX(0,BP19-BP20)</f>
        <v>0</v>
      </c>
      <c r="BQ21" s="305" t="n">
        <f aca="false">MAX(0,BQ19-BQ20)</f>
        <v>0</v>
      </c>
      <c r="BR21" s="305" t="n">
        <f aca="false">MAX(0,BR19-BR20)</f>
        <v>0</v>
      </c>
      <c r="BS21" s="305" t="n">
        <f aca="false">MAX(0,BS19-BS20)</f>
        <v>0</v>
      </c>
      <c r="BT21" s="305" t="n">
        <f aca="false">MAX(0,BT19-BT20)</f>
        <v>0</v>
      </c>
      <c r="BU21" s="305" t="n">
        <f aca="false">MAX(0,BU19-BU20)</f>
        <v>0</v>
      </c>
      <c r="BV21" s="305" t="n">
        <f aca="false">MAX(0,BV19-BV20)</f>
        <v>0</v>
      </c>
      <c r="BW21" s="305" t="n">
        <f aca="false">MAX(0,BW19-BW20)</f>
        <v>0</v>
      </c>
      <c r="BX21" s="305" t="n">
        <f aca="false">MAX(0,BX19-BX20)</f>
        <v>0</v>
      </c>
      <c r="BY21" s="305" t="n">
        <f aca="false">MAX(0,BY19-BY20)</f>
        <v>0</v>
      </c>
      <c r="BZ21" s="305" t="n">
        <f aca="false">MAX(0,BZ19-BZ20)</f>
        <v>0</v>
      </c>
      <c r="CA21" s="305" t="n">
        <f aca="false">MAX(0,CA19-CA20)</f>
        <v>0</v>
      </c>
      <c r="CB21" s="305" t="n">
        <f aca="false">MAX(0,CB19-CB20)</f>
        <v>0</v>
      </c>
      <c r="CC21" s="305" t="n">
        <f aca="false">MAX(0,CC19-CC20)</f>
        <v>0</v>
      </c>
      <c r="CD21" s="305" t="n">
        <f aca="false">MAX(0,CD19-CD20)</f>
        <v>0</v>
      </c>
      <c r="CE21" s="305" t="n">
        <f aca="false">MAX(0,CE19-CE20)</f>
        <v>0</v>
      </c>
      <c r="CF21" s="305" t="n">
        <f aca="false">MAX(0,CF19-CF20)</f>
        <v>0</v>
      </c>
      <c r="CG21" s="305" t="n">
        <f aca="false">MAX(0,CG19-CG20)</f>
        <v>0</v>
      </c>
      <c r="CH21" s="305" t="n">
        <f aca="false">MAX(0,CH19-CH20)</f>
        <v>0</v>
      </c>
      <c r="CI21" s="305" t="n">
        <f aca="false">MAX(0,CI19-CI20)</f>
        <v>0</v>
      </c>
      <c r="CJ21" s="305" t="n">
        <f aca="false">MAX(0,CJ19-CJ20)</f>
        <v>0</v>
      </c>
      <c r="CK21" s="305" t="n">
        <f aca="false">MAX(0,CK19-CK20)</f>
        <v>0</v>
      </c>
      <c r="CL21" s="305" t="n">
        <f aca="false">MAX(0,CL19-CL20)</f>
        <v>0</v>
      </c>
      <c r="CM21" s="305" t="n">
        <f aca="false">MAX(0,CM19-CM20)</f>
        <v>0</v>
      </c>
      <c r="CN21" s="305" t="n">
        <f aca="false">MAX(0,CN19-CN20)</f>
        <v>0</v>
      </c>
      <c r="CO21" s="305" t="n">
        <f aca="false">MAX(0,CO19-CO20)</f>
        <v>0</v>
      </c>
      <c r="CP21" s="305" t="n">
        <f aca="false">MAX(0,CP19-CP20)</f>
        <v>0</v>
      </c>
      <c r="CQ21" s="305" t="n">
        <f aca="false">MAX(0,CQ19-CQ20)</f>
        <v>0</v>
      </c>
    </row>
    <row r="22" customFormat="false" ht="15" hidden="false" customHeight="true" outlineLevel="0" collapsed="false">
      <c r="A22" s="177" t="s">
        <v>1153</v>
      </c>
      <c r="C22" s="289" t="n">
        <f aca="false">IF(Projects!$G$13="Yes",Projects!$B$13*Assumptions!$B$47+Assumptions!$B$54*Assumptions!$B$48,0)</f>
        <v>0</v>
      </c>
      <c r="D22" s="289" t="n">
        <f aca="false">C24</f>
        <v>0</v>
      </c>
      <c r="E22" s="289" t="n">
        <f aca="false">D24</f>
        <v>0</v>
      </c>
      <c r="F22" s="289" t="n">
        <f aca="false">E24</f>
        <v>0</v>
      </c>
      <c r="G22" s="289" t="n">
        <f aca="false">F24</f>
        <v>0</v>
      </c>
      <c r="H22" s="289" t="n">
        <f aca="false">G24</f>
        <v>0</v>
      </c>
      <c r="I22" s="289" t="n">
        <f aca="false">H24</f>
        <v>0</v>
      </c>
      <c r="J22" s="289" t="n">
        <f aca="false">I24</f>
        <v>0</v>
      </c>
      <c r="K22" s="289" t="n">
        <f aca="false">J24</f>
        <v>0</v>
      </c>
      <c r="L22" s="289" t="n">
        <f aca="false">K24</f>
        <v>0</v>
      </c>
      <c r="M22" s="289" t="n">
        <f aca="false">L24</f>
        <v>0</v>
      </c>
      <c r="N22" s="289" t="n">
        <f aca="false">M24</f>
        <v>0</v>
      </c>
      <c r="O22" s="289" t="n">
        <f aca="false">N24</f>
        <v>0</v>
      </c>
      <c r="P22" s="289" t="n">
        <f aca="false">O24</f>
        <v>0</v>
      </c>
      <c r="Q22" s="289" t="n">
        <f aca="false">P24</f>
        <v>0</v>
      </c>
      <c r="R22" s="289" t="n">
        <f aca="false">Q24</f>
        <v>0</v>
      </c>
      <c r="S22" s="289" t="n">
        <f aca="false">R24</f>
        <v>0</v>
      </c>
      <c r="T22" s="289" t="n">
        <f aca="false">S24</f>
        <v>0</v>
      </c>
      <c r="U22" s="289" t="n">
        <f aca="false">T24</f>
        <v>0</v>
      </c>
      <c r="V22" s="289" t="n">
        <f aca="false">U24</f>
        <v>0</v>
      </c>
      <c r="W22" s="289" t="n">
        <f aca="false">V24</f>
        <v>0</v>
      </c>
      <c r="X22" s="289" t="n">
        <f aca="false">W24</f>
        <v>0</v>
      </c>
      <c r="Y22" s="289" t="n">
        <f aca="false">X24</f>
        <v>0</v>
      </c>
      <c r="Z22" s="289" t="n">
        <f aca="false">Y24</f>
        <v>0</v>
      </c>
      <c r="AA22" s="289" t="n">
        <f aca="false">Z24</f>
        <v>0</v>
      </c>
      <c r="AB22" s="289" t="n">
        <f aca="false">AA24</f>
        <v>0</v>
      </c>
      <c r="AC22" s="289" t="n">
        <f aca="false">AB24</f>
        <v>0</v>
      </c>
      <c r="AD22" s="289" t="n">
        <f aca="false">AC24</f>
        <v>0</v>
      </c>
      <c r="AE22" s="289" t="n">
        <f aca="false">AD24</f>
        <v>0</v>
      </c>
      <c r="AF22" s="289" t="n">
        <f aca="false">AE24</f>
        <v>0</v>
      </c>
      <c r="AG22" s="289" t="n">
        <f aca="false">AF24</f>
        <v>0</v>
      </c>
      <c r="AH22" s="289" t="n">
        <f aca="false">AG24</f>
        <v>0</v>
      </c>
      <c r="AI22" s="289" t="n">
        <f aca="false">AH24</f>
        <v>0</v>
      </c>
      <c r="AJ22" s="289" t="n">
        <f aca="false">AI24</f>
        <v>0</v>
      </c>
      <c r="AK22" s="289" t="n">
        <f aca="false">AJ24</f>
        <v>0</v>
      </c>
      <c r="AL22" s="289" t="n">
        <f aca="false">AK24</f>
        <v>0</v>
      </c>
      <c r="AM22" s="289" t="n">
        <f aca="false">AL24</f>
        <v>0</v>
      </c>
      <c r="AN22" s="289" t="n">
        <f aca="false">AM24</f>
        <v>0</v>
      </c>
      <c r="AO22" s="289" t="n">
        <f aca="false">AN24</f>
        <v>0</v>
      </c>
      <c r="AP22" s="289" t="n">
        <f aca="false">AO24</f>
        <v>0</v>
      </c>
      <c r="AQ22" s="289" t="n">
        <f aca="false">AP24</f>
        <v>0</v>
      </c>
      <c r="AR22" s="289" t="n">
        <f aca="false">AQ24</f>
        <v>0</v>
      </c>
      <c r="AS22" s="289" t="n">
        <f aca="false">AR24</f>
        <v>0</v>
      </c>
      <c r="AT22" s="289" t="n">
        <f aca="false">AS24</f>
        <v>0</v>
      </c>
      <c r="AU22" s="289" t="n">
        <f aca="false">AT24</f>
        <v>0</v>
      </c>
      <c r="AV22" s="289" t="n">
        <f aca="false">AU24</f>
        <v>0</v>
      </c>
      <c r="AW22" s="289" t="n">
        <f aca="false">AV24</f>
        <v>0</v>
      </c>
      <c r="AX22" s="289" t="n">
        <f aca="false">AW24</f>
        <v>0</v>
      </c>
      <c r="AY22" s="289" t="n">
        <f aca="false">AX24</f>
        <v>0</v>
      </c>
      <c r="AZ22" s="289" t="n">
        <f aca="false">AY24</f>
        <v>0</v>
      </c>
      <c r="BA22" s="289" t="n">
        <f aca="false">AZ24</f>
        <v>0</v>
      </c>
      <c r="BB22" s="289" t="n">
        <f aca="false">BA24</f>
        <v>0</v>
      </c>
      <c r="BC22" s="289" t="n">
        <f aca="false">BB24</f>
        <v>0</v>
      </c>
      <c r="BD22" s="289" t="n">
        <f aca="false">BC24</f>
        <v>0</v>
      </c>
      <c r="BE22" s="289" t="n">
        <f aca="false">BD24</f>
        <v>0</v>
      </c>
      <c r="BF22" s="289" t="n">
        <f aca="false">BE24</f>
        <v>0</v>
      </c>
      <c r="BG22" s="289" t="n">
        <f aca="false">BF24</f>
        <v>0</v>
      </c>
      <c r="BH22" s="289" t="n">
        <f aca="false">BG24</f>
        <v>0</v>
      </c>
      <c r="BI22" s="289" t="n">
        <f aca="false">BH24</f>
        <v>0</v>
      </c>
      <c r="BJ22" s="289" t="n">
        <f aca="false">BI24</f>
        <v>0</v>
      </c>
      <c r="BK22" s="289" t="n">
        <f aca="false">BJ24</f>
        <v>0</v>
      </c>
      <c r="BL22" s="289" t="n">
        <f aca="false">BK24</f>
        <v>0</v>
      </c>
      <c r="BM22" s="289" t="n">
        <f aca="false">BL24</f>
        <v>0</v>
      </c>
      <c r="BN22" s="289" t="n">
        <f aca="false">BM24</f>
        <v>0</v>
      </c>
      <c r="BO22" s="289" t="n">
        <f aca="false">BN24</f>
        <v>0</v>
      </c>
      <c r="BP22" s="289" t="n">
        <f aca="false">BO24</f>
        <v>0</v>
      </c>
      <c r="BQ22" s="289" t="n">
        <f aca="false">BP24</f>
        <v>0</v>
      </c>
      <c r="BR22" s="289" t="n">
        <f aca="false">BQ24</f>
        <v>0</v>
      </c>
      <c r="BS22" s="289" t="n">
        <f aca="false">BR24</f>
        <v>0</v>
      </c>
      <c r="BT22" s="289" t="n">
        <f aca="false">BS24</f>
        <v>0</v>
      </c>
      <c r="BU22" s="289" t="n">
        <f aca="false">BT24</f>
        <v>0</v>
      </c>
      <c r="BV22" s="289" t="n">
        <f aca="false">BU24</f>
        <v>0</v>
      </c>
      <c r="BW22" s="289" t="n">
        <f aca="false">BV24</f>
        <v>0</v>
      </c>
      <c r="BX22" s="289" t="n">
        <f aca="false">BW24</f>
        <v>0</v>
      </c>
      <c r="BY22" s="289" t="n">
        <f aca="false">BX24</f>
        <v>0</v>
      </c>
      <c r="BZ22" s="289" t="n">
        <f aca="false">BY24</f>
        <v>0</v>
      </c>
      <c r="CA22" s="289" t="n">
        <f aca="false">BZ24</f>
        <v>0</v>
      </c>
      <c r="CB22" s="289" t="n">
        <f aca="false">CA24</f>
        <v>0</v>
      </c>
      <c r="CC22" s="289" t="n">
        <f aca="false">CB24</f>
        <v>0</v>
      </c>
      <c r="CD22" s="289" t="n">
        <f aca="false">CC24</f>
        <v>0</v>
      </c>
      <c r="CE22" s="289" t="n">
        <f aca="false">CD24</f>
        <v>0</v>
      </c>
      <c r="CF22" s="289" t="n">
        <f aca="false">CE24</f>
        <v>0</v>
      </c>
      <c r="CG22" s="289" t="n">
        <f aca="false">CF24</f>
        <v>0</v>
      </c>
      <c r="CH22" s="289" t="n">
        <f aca="false">CG24</f>
        <v>0</v>
      </c>
      <c r="CI22" s="289" t="n">
        <f aca="false">CH24</f>
        <v>0</v>
      </c>
      <c r="CJ22" s="289" t="n">
        <f aca="false">CI24</f>
        <v>0</v>
      </c>
      <c r="CK22" s="289" t="n">
        <f aca="false">CJ24</f>
        <v>0</v>
      </c>
      <c r="CL22" s="289" t="n">
        <f aca="false">CK24</f>
        <v>0</v>
      </c>
      <c r="CM22" s="289" t="n">
        <f aca="false">CL24</f>
        <v>0</v>
      </c>
      <c r="CN22" s="289" t="n">
        <f aca="false">CM24</f>
        <v>0</v>
      </c>
      <c r="CO22" s="289" t="n">
        <f aca="false">CN24</f>
        <v>0</v>
      </c>
      <c r="CP22" s="289" t="n">
        <f aca="false">CO24</f>
        <v>0</v>
      </c>
      <c r="CQ22" s="289" t="n">
        <f aca="false">CP24</f>
        <v>0</v>
      </c>
    </row>
    <row r="23" customFormat="false" ht="15" hidden="false" customHeight="true" outlineLevel="0" collapsed="false">
      <c r="A23" s="306" t="s">
        <v>1154</v>
      </c>
      <c r="C23" s="307" t="n">
        <f aca="false">MIN(C22,Model!E255)</f>
        <v>0</v>
      </c>
      <c r="D23" s="307" t="n">
        <f aca="false">MIN(D22,Model!F255)</f>
        <v>0</v>
      </c>
      <c r="E23" s="307" t="n">
        <f aca="false">MIN(E22,Model!G255)</f>
        <v>0</v>
      </c>
      <c r="F23" s="307" t="n">
        <f aca="false">MIN(F22,Model!H255)</f>
        <v>0</v>
      </c>
      <c r="G23" s="307" t="n">
        <f aca="false">MIN(G22,Model!I255)</f>
        <v>0</v>
      </c>
      <c r="H23" s="307" t="n">
        <f aca="false">MIN(H22,Model!J255)</f>
        <v>0</v>
      </c>
      <c r="I23" s="307" t="n">
        <f aca="false">MIN(I22,Model!K255)</f>
        <v>0</v>
      </c>
      <c r="J23" s="307" t="n">
        <f aca="false">MIN(J22,Model!L255)</f>
        <v>0</v>
      </c>
      <c r="K23" s="307" t="n">
        <f aca="false">MIN(K22,Model!M255)</f>
        <v>0</v>
      </c>
      <c r="L23" s="307" t="n">
        <f aca="false">MIN(L22,Model!N255)</f>
        <v>0</v>
      </c>
      <c r="M23" s="307" t="n">
        <f aca="false">MIN(M22,Model!O255)</f>
        <v>0</v>
      </c>
      <c r="N23" s="307" t="n">
        <f aca="false">MIN(N22,Model!P255)</f>
        <v>0</v>
      </c>
      <c r="O23" s="307" t="n">
        <f aca="false">MIN(O22,Model!Q255)</f>
        <v>0</v>
      </c>
      <c r="P23" s="307" t="n">
        <f aca="false">MIN(P22,Model!R255)</f>
        <v>0</v>
      </c>
      <c r="Q23" s="307" t="n">
        <f aca="false">MIN(Q22,Model!S255)</f>
        <v>0</v>
      </c>
      <c r="R23" s="307" t="n">
        <f aca="false">MIN(R22,Model!T255)</f>
        <v>0</v>
      </c>
      <c r="S23" s="307" t="n">
        <f aca="false">MIN(S22,Model!U255)</f>
        <v>0</v>
      </c>
      <c r="T23" s="307" t="n">
        <f aca="false">MIN(T22,Model!V255)</f>
        <v>0</v>
      </c>
      <c r="U23" s="307" t="n">
        <f aca="false">MIN(U22,Model!W255)</f>
        <v>0</v>
      </c>
      <c r="V23" s="307" t="n">
        <f aca="false">MIN(V22,Model!X255)</f>
        <v>0</v>
      </c>
      <c r="W23" s="307" t="n">
        <f aca="false">MIN(W22,Model!Y255)</f>
        <v>0</v>
      </c>
      <c r="X23" s="307" t="n">
        <f aca="false">MIN(X22,Model!Z255)</f>
        <v>0</v>
      </c>
      <c r="Y23" s="307" t="n">
        <f aca="false">MIN(Y22,Model!AA255)</f>
        <v>0</v>
      </c>
      <c r="Z23" s="307" t="n">
        <f aca="false">MIN(Z22,Model!AB255)</f>
        <v>0</v>
      </c>
      <c r="AA23" s="307" t="n">
        <f aca="false">MIN(AA22,Model!AC255)</f>
        <v>0</v>
      </c>
      <c r="AB23" s="307" t="n">
        <f aca="false">MIN(AB22,Model!AD255)</f>
        <v>0</v>
      </c>
      <c r="AC23" s="307" t="n">
        <f aca="false">MIN(AC22,Model!AE255)</f>
        <v>0</v>
      </c>
      <c r="AD23" s="307" t="n">
        <f aca="false">MIN(AD22,Model!AF255)</f>
        <v>0</v>
      </c>
      <c r="AE23" s="307" t="n">
        <f aca="false">MIN(AE22,Model!AG255)</f>
        <v>0</v>
      </c>
      <c r="AF23" s="307" t="n">
        <f aca="false">MIN(AF22,Model!AH255)</f>
        <v>0</v>
      </c>
      <c r="AG23" s="307" t="n">
        <f aca="false">MIN(AG22,Model!AI255)</f>
        <v>0</v>
      </c>
      <c r="AH23" s="307" t="n">
        <f aca="false">MIN(AH22,Model!AJ255)</f>
        <v>0</v>
      </c>
      <c r="AI23" s="307" t="n">
        <f aca="false">MIN(AI22,Model!AK255)</f>
        <v>0</v>
      </c>
      <c r="AJ23" s="307" t="n">
        <f aca="false">MIN(AJ22,Model!AL255)</f>
        <v>0</v>
      </c>
      <c r="AK23" s="307" t="n">
        <f aca="false">MIN(AK22,Model!AM255)</f>
        <v>0</v>
      </c>
      <c r="AL23" s="307" t="n">
        <f aca="false">MIN(AL22,Model!AN255)</f>
        <v>0</v>
      </c>
      <c r="AM23" s="307" t="n">
        <f aca="false">MIN(AM22,Model!AO255)</f>
        <v>0</v>
      </c>
      <c r="AN23" s="307" t="n">
        <f aca="false">MIN(AN22,Model!AP255)</f>
        <v>0</v>
      </c>
      <c r="AO23" s="307" t="n">
        <f aca="false">MIN(AO22,Model!AQ255)</f>
        <v>0</v>
      </c>
      <c r="AP23" s="307" t="n">
        <f aca="false">MIN(AP22,Model!AR255)</f>
        <v>0</v>
      </c>
      <c r="AQ23" s="307" t="n">
        <f aca="false">MIN(AQ22,Model!AS255)</f>
        <v>0</v>
      </c>
      <c r="AR23" s="307" t="n">
        <f aca="false">MIN(AR22,Model!AT255)</f>
        <v>0</v>
      </c>
      <c r="AS23" s="307" t="n">
        <f aca="false">MIN(AS22,Model!AU255)</f>
        <v>0</v>
      </c>
      <c r="AT23" s="307" t="n">
        <f aca="false">MIN(AT22,Model!AV255)</f>
        <v>0</v>
      </c>
      <c r="AU23" s="307" t="n">
        <f aca="false">MIN(AU22,Model!AW255)</f>
        <v>0</v>
      </c>
      <c r="AV23" s="307" t="n">
        <f aca="false">MIN(AV22,Model!AX255)</f>
        <v>0</v>
      </c>
      <c r="AW23" s="307" t="n">
        <f aca="false">MIN(AW22,Model!AY255)</f>
        <v>0</v>
      </c>
      <c r="AX23" s="307" t="n">
        <f aca="false">MIN(AX22,Model!AZ255)</f>
        <v>0</v>
      </c>
      <c r="AY23" s="307" t="n">
        <f aca="false">MIN(AY22,Model!BA255)</f>
        <v>0</v>
      </c>
      <c r="AZ23" s="307" t="n">
        <f aca="false">MIN(AZ22,Model!BB255)</f>
        <v>0</v>
      </c>
      <c r="BA23" s="307" t="n">
        <f aca="false">MIN(BA22,Model!BC255)</f>
        <v>0</v>
      </c>
      <c r="BB23" s="307" t="n">
        <f aca="false">MIN(BB22,Model!BD255)</f>
        <v>0</v>
      </c>
      <c r="BC23" s="307" t="n">
        <f aca="false">MIN(BC22,Model!BE255)</f>
        <v>0</v>
      </c>
      <c r="BD23" s="307" t="n">
        <f aca="false">MIN(BD22,Model!BF255)</f>
        <v>0</v>
      </c>
      <c r="BE23" s="307" t="n">
        <f aca="false">MIN(BE22,Model!BG255)</f>
        <v>0</v>
      </c>
      <c r="BF23" s="307" t="n">
        <f aca="false">MIN(BF22,Model!BH255)</f>
        <v>0</v>
      </c>
      <c r="BG23" s="307" t="n">
        <f aca="false">MIN(BG22,Model!BI255)</f>
        <v>0</v>
      </c>
      <c r="BH23" s="307" t="n">
        <f aca="false">MIN(BH22,Model!BJ255)</f>
        <v>0</v>
      </c>
      <c r="BI23" s="307" t="n">
        <f aca="false">MIN(BI22,Model!BK255)</f>
        <v>0</v>
      </c>
      <c r="BJ23" s="307" t="n">
        <f aca="false">MIN(BJ22,Model!BL255)</f>
        <v>0</v>
      </c>
      <c r="BK23" s="307" t="n">
        <f aca="false">MIN(BK22,Model!BM255)</f>
        <v>0</v>
      </c>
      <c r="BL23" s="307" t="n">
        <f aca="false">MIN(BL22,Model!BN255)</f>
        <v>0</v>
      </c>
      <c r="BM23" s="307" t="n">
        <f aca="false">MIN(BM22,Model!BO255)</f>
        <v>0</v>
      </c>
      <c r="BN23" s="307" t="n">
        <f aca="false">MIN(BN22,Model!BP255)</f>
        <v>0</v>
      </c>
      <c r="BO23" s="307" t="n">
        <f aca="false">MIN(BO22,Model!BQ255)</f>
        <v>0</v>
      </c>
      <c r="BP23" s="307" t="n">
        <f aca="false">MIN(BP22,Model!BR255)</f>
        <v>0</v>
      </c>
      <c r="BQ23" s="307" t="n">
        <f aca="false">MIN(BQ22,Model!BS255)</f>
        <v>0</v>
      </c>
      <c r="BR23" s="307" t="n">
        <f aca="false">MIN(BR22,Model!BT255)</f>
        <v>0</v>
      </c>
      <c r="BS23" s="307" t="n">
        <f aca="false">MIN(BS22,Model!BU255)</f>
        <v>0</v>
      </c>
      <c r="BT23" s="307" t="n">
        <f aca="false">MIN(BT22,Model!BV255)</f>
        <v>0</v>
      </c>
      <c r="BU23" s="307" t="n">
        <f aca="false">MIN(BU22,Model!BW255)</f>
        <v>0</v>
      </c>
      <c r="BV23" s="307" t="n">
        <f aca="false">MIN(BV22,Model!BX255)</f>
        <v>0</v>
      </c>
      <c r="BW23" s="307" t="n">
        <f aca="false">MIN(BW22,Model!BY255)</f>
        <v>0</v>
      </c>
      <c r="BX23" s="307" t="n">
        <f aca="false">MIN(BX22,Model!BZ255)</f>
        <v>0</v>
      </c>
      <c r="BY23" s="307" t="n">
        <f aca="false">MIN(BY22,Model!CA255)</f>
        <v>0</v>
      </c>
      <c r="BZ23" s="307" t="n">
        <f aca="false">MIN(BZ22,Model!CB255)</f>
        <v>0</v>
      </c>
      <c r="CA23" s="307" t="n">
        <f aca="false">MIN(CA22,Model!CC255)</f>
        <v>0</v>
      </c>
      <c r="CB23" s="307" t="n">
        <f aca="false">MIN(CB22,Model!CD255)</f>
        <v>0</v>
      </c>
      <c r="CC23" s="307" t="n">
        <f aca="false">MIN(CC22,Model!CE255)</f>
        <v>0</v>
      </c>
      <c r="CD23" s="307" t="n">
        <f aca="false">MIN(CD22,Model!CF255)</f>
        <v>0</v>
      </c>
      <c r="CE23" s="307" t="n">
        <f aca="false">MIN(CE22,Model!CG255)</f>
        <v>0</v>
      </c>
      <c r="CF23" s="307" t="n">
        <f aca="false">MIN(CF22,Model!CH255)</f>
        <v>0</v>
      </c>
      <c r="CG23" s="307" t="n">
        <f aca="false">MIN(CG22,Model!CI255)</f>
        <v>0</v>
      </c>
      <c r="CH23" s="307" t="n">
        <f aca="false">MIN(CH22,Model!CJ255)</f>
        <v>0</v>
      </c>
      <c r="CI23" s="307" t="n">
        <f aca="false">MIN(CI22,Model!CK255)</f>
        <v>0</v>
      </c>
      <c r="CJ23" s="307" t="n">
        <f aca="false">MIN(CJ22,Model!CL255)</f>
        <v>0</v>
      </c>
      <c r="CK23" s="307" t="n">
        <f aca="false">MIN(CK22,Model!CM255)</f>
        <v>0</v>
      </c>
      <c r="CL23" s="307" t="n">
        <f aca="false">MIN(CL22,Model!CN255)</f>
        <v>0</v>
      </c>
      <c r="CM23" s="307" t="n">
        <f aca="false">MIN(CM22,Model!CO255)</f>
        <v>0</v>
      </c>
      <c r="CN23" s="307" t="n">
        <f aca="false">MIN(CN22,Model!CP255)</f>
        <v>0</v>
      </c>
      <c r="CO23" s="307" t="n">
        <f aca="false">MIN(CO22,Model!CQ255)</f>
        <v>0</v>
      </c>
      <c r="CP23" s="307" t="n">
        <f aca="false">MIN(CP22,Model!CR255)</f>
        <v>0</v>
      </c>
      <c r="CQ23" s="307" t="n">
        <f aca="false">MIN(CQ22,Model!CS255)</f>
        <v>0</v>
      </c>
    </row>
    <row r="24" customFormat="false" ht="15" hidden="false" customHeight="true" outlineLevel="0" collapsed="false">
      <c r="A24" s="94" t="s">
        <v>1155</v>
      </c>
      <c r="C24" s="305" t="n">
        <f aca="false">MAX(0,C22-C23)</f>
        <v>0</v>
      </c>
      <c r="D24" s="305" t="n">
        <f aca="false">MAX(0,D22-D23)</f>
        <v>0</v>
      </c>
      <c r="E24" s="305" t="n">
        <f aca="false">MAX(0,E22-E23)</f>
        <v>0</v>
      </c>
      <c r="F24" s="305" t="n">
        <f aca="false">MAX(0,F22-F23)</f>
        <v>0</v>
      </c>
      <c r="G24" s="305" t="n">
        <f aca="false">MAX(0,G22-G23)</f>
        <v>0</v>
      </c>
      <c r="H24" s="305" t="n">
        <f aca="false">MAX(0,H22-H23)</f>
        <v>0</v>
      </c>
      <c r="I24" s="305" t="n">
        <f aca="false">MAX(0,I22-I23)</f>
        <v>0</v>
      </c>
      <c r="J24" s="305" t="n">
        <f aca="false">MAX(0,J22-J23)</f>
        <v>0</v>
      </c>
      <c r="K24" s="305" t="n">
        <f aca="false">MAX(0,K22-K23)</f>
        <v>0</v>
      </c>
      <c r="L24" s="305" t="n">
        <f aca="false">MAX(0,L22-L23)</f>
        <v>0</v>
      </c>
      <c r="M24" s="305" t="n">
        <f aca="false">MAX(0,M22-M23)</f>
        <v>0</v>
      </c>
      <c r="N24" s="305" t="n">
        <f aca="false">MAX(0,N22-N23)</f>
        <v>0</v>
      </c>
      <c r="O24" s="305" t="n">
        <f aca="false">MAX(0,O22-O23)</f>
        <v>0</v>
      </c>
      <c r="P24" s="305" t="n">
        <f aca="false">MAX(0,P22-P23)</f>
        <v>0</v>
      </c>
      <c r="Q24" s="305" t="n">
        <f aca="false">MAX(0,Q22-Q23)</f>
        <v>0</v>
      </c>
      <c r="R24" s="305" t="n">
        <f aca="false">MAX(0,R22-R23)</f>
        <v>0</v>
      </c>
      <c r="S24" s="305" t="n">
        <f aca="false">MAX(0,S22-S23)</f>
        <v>0</v>
      </c>
      <c r="T24" s="305" t="n">
        <f aca="false">MAX(0,T22-T23)</f>
        <v>0</v>
      </c>
      <c r="U24" s="305" t="n">
        <f aca="false">MAX(0,U22-U23)</f>
        <v>0</v>
      </c>
      <c r="V24" s="305" t="n">
        <f aca="false">MAX(0,V22-V23)</f>
        <v>0</v>
      </c>
      <c r="W24" s="305" t="n">
        <f aca="false">MAX(0,W22-W23)</f>
        <v>0</v>
      </c>
      <c r="X24" s="305" t="n">
        <f aca="false">MAX(0,X22-X23)</f>
        <v>0</v>
      </c>
      <c r="Y24" s="305" t="n">
        <f aca="false">MAX(0,Y22-Y23)</f>
        <v>0</v>
      </c>
      <c r="Z24" s="305" t="n">
        <f aca="false">MAX(0,Z22-Z23)</f>
        <v>0</v>
      </c>
      <c r="AA24" s="305" t="n">
        <f aca="false">MAX(0,AA22-AA23)</f>
        <v>0</v>
      </c>
      <c r="AB24" s="305" t="n">
        <f aca="false">MAX(0,AB22-AB23)</f>
        <v>0</v>
      </c>
      <c r="AC24" s="305" t="n">
        <f aca="false">MAX(0,AC22-AC23)</f>
        <v>0</v>
      </c>
      <c r="AD24" s="305" t="n">
        <f aca="false">MAX(0,AD22-AD23)</f>
        <v>0</v>
      </c>
      <c r="AE24" s="305" t="n">
        <f aca="false">MAX(0,AE22-AE23)</f>
        <v>0</v>
      </c>
      <c r="AF24" s="305" t="n">
        <f aca="false">MAX(0,AF22-AF23)</f>
        <v>0</v>
      </c>
      <c r="AG24" s="305" t="n">
        <f aca="false">MAX(0,AG22-AG23)</f>
        <v>0</v>
      </c>
      <c r="AH24" s="305" t="n">
        <f aca="false">MAX(0,AH22-AH23)</f>
        <v>0</v>
      </c>
      <c r="AI24" s="305" t="n">
        <f aca="false">MAX(0,AI22-AI23)</f>
        <v>0</v>
      </c>
      <c r="AJ24" s="305" t="n">
        <f aca="false">MAX(0,AJ22-AJ23)</f>
        <v>0</v>
      </c>
      <c r="AK24" s="305" t="n">
        <f aca="false">MAX(0,AK22-AK23)</f>
        <v>0</v>
      </c>
      <c r="AL24" s="305" t="n">
        <f aca="false">MAX(0,AL22-AL23)</f>
        <v>0</v>
      </c>
      <c r="AM24" s="305" t="n">
        <f aca="false">MAX(0,AM22-AM23)</f>
        <v>0</v>
      </c>
      <c r="AN24" s="305" t="n">
        <f aca="false">MAX(0,AN22-AN23)</f>
        <v>0</v>
      </c>
      <c r="AO24" s="305" t="n">
        <f aca="false">MAX(0,AO22-AO23)</f>
        <v>0</v>
      </c>
      <c r="AP24" s="305" t="n">
        <f aca="false">MAX(0,AP22-AP23)</f>
        <v>0</v>
      </c>
      <c r="AQ24" s="305" t="n">
        <f aca="false">MAX(0,AQ22-AQ23)</f>
        <v>0</v>
      </c>
      <c r="AR24" s="305" t="n">
        <f aca="false">MAX(0,AR22-AR23)</f>
        <v>0</v>
      </c>
      <c r="AS24" s="305" t="n">
        <f aca="false">MAX(0,AS22-AS23)</f>
        <v>0</v>
      </c>
      <c r="AT24" s="305" t="n">
        <f aca="false">MAX(0,AT22-AT23)</f>
        <v>0</v>
      </c>
      <c r="AU24" s="305" t="n">
        <f aca="false">MAX(0,AU22-AU23)</f>
        <v>0</v>
      </c>
      <c r="AV24" s="305" t="n">
        <f aca="false">MAX(0,AV22-AV23)</f>
        <v>0</v>
      </c>
      <c r="AW24" s="305" t="n">
        <f aca="false">MAX(0,AW22-AW23)</f>
        <v>0</v>
      </c>
      <c r="AX24" s="305" t="n">
        <f aca="false">MAX(0,AX22-AX23)</f>
        <v>0</v>
      </c>
      <c r="AY24" s="305" t="n">
        <f aca="false">MAX(0,AY22-AY23)</f>
        <v>0</v>
      </c>
      <c r="AZ24" s="305" t="n">
        <f aca="false">MAX(0,AZ22-AZ23)</f>
        <v>0</v>
      </c>
      <c r="BA24" s="305" t="n">
        <f aca="false">MAX(0,BA22-BA23)</f>
        <v>0</v>
      </c>
      <c r="BB24" s="305" t="n">
        <f aca="false">MAX(0,BB22-BB23)</f>
        <v>0</v>
      </c>
      <c r="BC24" s="305" t="n">
        <f aca="false">MAX(0,BC22-BC23)</f>
        <v>0</v>
      </c>
      <c r="BD24" s="305" t="n">
        <f aca="false">MAX(0,BD22-BD23)</f>
        <v>0</v>
      </c>
      <c r="BE24" s="305" t="n">
        <f aca="false">MAX(0,BE22-BE23)</f>
        <v>0</v>
      </c>
      <c r="BF24" s="305" t="n">
        <f aca="false">MAX(0,BF22-BF23)</f>
        <v>0</v>
      </c>
      <c r="BG24" s="305" t="n">
        <f aca="false">MAX(0,BG22-BG23)</f>
        <v>0</v>
      </c>
      <c r="BH24" s="305" t="n">
        <f aca="false">MAX(0,BH22-BH23)</f>
        <v>0</v>
      </c>
      <c r="BI24" s="305" t="n">
        <f aca="false">MAX(0,BI22-BI23)</f>
        <v>0</v>
      </c>
      <c r="BJ24" s="305" t="n">
        <f aca="false">MAX(0,BJ22-BJ23)</f>
        <v>0</v>
      </c>
      <c r="BK24" s="305" t="n">
        <f aca="false">MAX(0,BK22-BK23)</f>
        <v>0</v>
      </c>
      <c r="BL24" s="305" t="n">
        <f aca="false">MAX(0,BL22-BL23)</f>
        <v>0</v>
      </c>
      <c r="BM24" s="305" t="n">
        <f aca="false">MAX(0,BM22-BM23)</f>
        <v>0</v>
      </c>
      <c r="BN24" s="305" t="n">
        <f aca="false">MAX(0,BN22-BN23)</f>
        <v>0</v>
      </c>
      <c r="BO24" s="305" t="n">
        <f aca="false">MAX(0,BO22-BO23)</f>
        <v>0</v>
      </c>
      <c r="BP24" s="305" t="n">
        <f aca="false">MAX(0,BP22-BP23)</f>
        <v>0</v>
      </c>
      <c r="BQ24" s="305" t="n">
        <f aca="false">MAX(0,BQ22-BQ23)</f>
        <v>0</v>
      </c>
      <c r="BR24" s="305" t="n">
        <f aca="false">MAX(0,BR22-BR23)</f>
        <v>0</v>
      </c>
      <c r="BS24" s="305" t="n">
        <f aca="false">MAX(0,BS22-BS23)</f>
        <v>0</v>
      </c>
      <c r="BT24" s="305" t="n">
        <f aca="false">MAX(0,BT22-BT23)</f>
        <v>0</v>
      </c>
      <c r="BU24" s="305" t="n">
        <f aca="false">MAX(0,BU22-BU23)</f>
        <v>0</v>
      </c>
      <c r="BV24" s="305" t="n">
        <f aca="false">MAX(0,BV22-BV23)</f>
        <v>0</v>
      </c>
      <c r="BW24" s="305" t="n">
        <f aca="false">MAX(0,BW22-BW23)</f>
        <v>0</v>
      </c>
      <c r="BX24" s="305" t="n">
        <f aca="false">MAX(0,BX22-BX23)</f>
        <v>0</v>
      </c>
      <c r="BY24" s="305" t="n">
        <f aca="false">MAX(0,BY22-BY23)</f>
        <v>0</v>
      </c>
      <c r="BZ24" s="305" t="n">
        <f aca="false">MAX(0,BZ22-BZ23)</f>
        <v>0</v>
      </c>
      <c r="CA24" s="305" t="n">
        <f aca="false">MAX(0,CA22-CA23)</f>
        <v>0</v>
      </c>
      <c r="CB24" s="305" t="n">
        <f aca="false">MAX(0,CB22-CB23)</f>
        <v>0</v>
      </c>
      <c r="CC24" s="305" t="n">
        <f aca="false">MAX(0,CC22-CC23)</f>
        <v>0</v>
      </c>
      <c r="CD24" s="305" t="n">
        <f aca="false">MAX(0,CD22-CD23)</f>
        <v>0</v>
      </c>
      <c r="CE24" s="305" t="n">
        <f aca="false">MAX(0,CE22-CE23)</f>
        <v>0</v>
      </c>
      <c r="CF24" s="305" t="n">
        <f aca="false">MAX(0,CF22-CF23)</f>
        <v>0</v>
      </c>
      <c r="CG24" s="305" t="n">
        <f aca="false">MAX(0,CG22-CG23)</f>
        <v>0</v>
      </c>
      <c r="CH24" s="305" t="n">
        <f aca="false">MAX(0,CH22-CH23)</f>
        <v>0</v>
      </c>
      <c r="CI24" s="305" t="n">
        <f aca="false">MAX(0,CI22-CI23)</f>
        <v>0</v>
      </c>
      <c r="CJ24" s="305" t="n">
        <f aca="false">MAX(0,CJ22-CJ23)</f>
        <v>0</v>
      </c>
      <c r="CK24" s="305" t="n">
        <f aca="false">MAX(0,CK22-CK23)</f>
        <v>0</v>
      </c>
      <c r="CL24" s="305" t="n">
        <f aca="false">MAX(0,CL22-CL23)</f>
        <v>0</v>
      </c>
      <c r="CM24" s="305" t="n">
        <f aca="false">MAX(0,CM22-CM23)</f>
        <v>0</v>
      </c>
      <c r="CN24" s="305" t="n">
        <f aca="false">MAX(0,CN22-CN23)</f>
        <v>0</v>
      </c>
      <c r="CO24" s="305" t="n">
        <f aca="false">MAX(0,CO22-CO23)</f>
        <v>0</v>
      </c>
      <c r="CP24" s="305" t="n">
        <f aca="false">MAX(0,CP22-CP23)</f>
        <v>0</v>
      </c>
      <c r="CQ24" s="305" t="n">
        <f aca="false">MAX(0,CQ22-CQ23)</f>
        <v>0</v>
      </c>
    </row>
    <row r="25" customFormat="false" ht="15" hidden="false" customHeight="true" outlineLevel="0" collapsed="false">
      <c r="A25" s="1" t="s">
        <v>1156</v>
      </c>
      <c r="B25" s="1" t="s">
        <v>1157</v>
      </c>
      <c r="C25" s="308"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1158</v>
      </c>
      <c r="C26" s="308"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1159</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2" t="s">
        <v>1160</v>
      </c>
      <c r="B30" s="292"/>
      <c r="C30" s="292"/>
      <c r="D30" s="292"/>
      <c r="E30" s="292"/>
      <c r="F30" s="292"/>
      <c r="G30" s="292"/>
      <c r="H30" s="292"/>
      <c r="I30" s="292"/>
    </row>
    <row r="31" customFormat="false" ht="15" hidden="false" customHeight="true" outlineLevel="0" collapsed="false">
      <c r="A31" s="309" t="s">
        <v>1161</v>
      </c>
    </row>
    <row r="32" customFormat="false" ht="15" hidden="false" customHeight="true" outlineLevel="0" collapsed="false">
      <c r="A32" s="310" t="s">
        <v>12</v>
      </c>
      <c r="B32" s="220" t="n">
        <f aca="false">LOOKUP(2,1/(Model!E254:CG254&gt;0),Model!E254:CG254)</f>
        <v>76499</v>
      </c>
    </row>
    <row r="33" customFormat="false" ht="15" hidden="false" customHeight="true" outlineLevel="0" collapsed="false">
      <c r="A33" s="310" t="s">
        <v>19</v>
      </c>
      <c r="B33" s="220" t="e">
        <f aca="false">LOOKUP(2,1/(Model!E256:CG256&gt;0),Model!E256:CG256)</f>
        <v>#N/A</v>
      </c>
    </row>
    <row r="34" customFormat="false" ht="15" hidden="false" customHeight="true" outlineLevel="0" collapsed="false">
      <c r="A34" s="310" t="s">
        <v>18</v>
      </c>
      <c r="B34" s="220" t="e">
        <f aca="false">LOOKUP(2,1/(Model!E255:CG255&gt;0),Model!E255:CG255)</f>
        <v>#N/A</v>
      </c>
    </row>
    <row r="36" customFormat="false" ht="15" hidden="false" customHeight="true" outlineLevel="0" collapsed="false">
      <c r="A36" s="309" t="s">
        <v>1162</v>
      </c>
    </row>
    <row r="37" customFormat="false" ht="15" hidden="false" customHeight="true" outlineLevel="0" collapsed="false">
      <c r="A37" s="310" t="s">
        <v>12</v>
      </c>
      <c r="B37" s="90" t="n">
        <f aca="false">SUMPRODUCT((Model!E254:CG254&gt;0)*1)</f>
        <v>15</v>
      </c>
    </row>
    <row r="38" customFormat="false" ht="15" hidden="false" customHeight="true" outlineLevel="0" collapsed="false">
      <c r="A38" s="310" t="s">
        <v>19</v>
      </c>
      <c r="B38" s="90" t="n">
        <f aca="false">SUMPRODUCT((Model!E256:CG256&gt;0)*1)</f>
        <v>0</v>
      </c>
    </row>
    <row r="39" customFormat="false" ht="15" hidden="false" customHeight="true" outlineLevel="0" collapsed="false">
      <c r="A39" s="310" t="s">
        <v>18</v>
      </c>
      <c r="B39" s="90" t="n">
        <f aca="false">SUMPRODUCT((Model!E255:CG255&gt;0)*1)</f>
        <v>0</v>
      </c>
    </row>
    <row r="41" customFormat="false" ht="15" hidden="false" customHeight="true" outlineLevel="0" collapsed="false">
      <c r="A41" s="309" t="s">
        <v>1163</v>
      </c>
    </row>
    <row r="42" customFormat="false" ht="15" hidden="false" customHeight="true" outlineLevel="0" collapsed="false">
      <c r="A42" s="310" t="s">
        <v>12</v>
      </c>
      <c r="B42" s="90" t="n">
        <f aca="false">40-B37</f>
        <v>25</v>
      </c>
    </row>
    <row r="43" customFormat="false" ht="15" hidden="false" customHeight="true" outlineLevel="0" collapsed="false">
      <c r="A43" s="310" t="s">
        <v>19</v>
      </c>
      <c r="B43" s="90" t="n">
        <f aca="false">40-B38</f>
        <v>40</v>
      </c>
    </row>
    <row r="44" customFormat="false" ht="15" hidden="false" customHeight="true" outlineLevel="0" collapsed="false">
      <c r="A44" s="310" t="s">
        <v>18</v>
      </c>
      <c r="B44" s="90" t="n">
        <f aca="false">40-B39</f>
        <v>40</v>
      </c>
    </row>
    <row r="46" customFormat="false" ht="15" hidden="false" customHeight="true" outlineLevel="0" collapsed="false">
      <c r="A46" s="309" t="s">
        <v>1164</v>
      </c>
    </row>
    <row r="47" customFormat="false" ht="15" hidden="false" customHeight="true" outlineLevel="0" collapsed="false">
      <c r="A47" s="310" t="s">
        <v>12</v>
      </c>
      <c r="B47" s="220" t="n">
        <f aca="false">B32*B42</f>
        <v>1912475</v>
      </c>
    </row>
    <row r="48" customFormat="false" ht="15" hidden="false" customHeight="true" outlineLevel="0" collapsed="false">
      <c r="A48" s="310" t="s">
        <v>19</v>
      </c>
      <c r="B48" s="220" t="e">
        <f aca="false">B33*B43</f>
        <v>#N/A</v>
      </c>
    </row>
    <row r="49" customFormat="false" ht="15" hidden="false" customHeight="true" outlineLevel="0" collapsed="false">
      <c r="A49" s="310" t="s">
        <v>18</v>
      </c>
      <c r="B49" s="220" t="e">
        <f aca="false">B34*B44</f>
        <v>#N/A</v>
      </c>
    </row>
    <row r="51" customFormat="false" ht="15" hidden="false" customHeight="true" outlineLevel="0" collapsed="false">
      <c r="A51" s="292" t="s">
        <v>1165</v>
      </c>
      <c r="B51" s="292"/>
      <c r="C51" s="292"/>
      <c r="D51" s="292"/>
      <c r="E51" s="292"/>
      <c r="F51" s="292"/>
      <c r="G51" s="292"/>
    </row>
    <row r="52" customFormat="false" ht="15" hidden="false" customHeight="true" outlineLevel="0" collapsed="false">
      <c r="A52" s="309" t="s">
        <v>1166</v>
      </c>
      <c r="B52" s="309" t="s">
        <v>1167</v>
      </c>
      <c r="C52" s="309" t="s">
        <v>1168</v>
      </c>
      <c r="D52" s="309" t="s">
        <v>1169</v>
      </c>
      <c r="E52" s="309" t="s">
        <v>1170</v>
      </c>
      <c r="F52" s="309" t="s">
        <v>1171</v>
      </c>
      <c r="G52" s="309" t="s">
        <v>1172</v>
      </c>
    </row>
    <row r="53" customFormat="false" ht="15" hidden="false" customHeight="true" outlineLevel="0" collapsed="false">
      <c r="A53" s="90" t="n">
        <v>1</v>
      </c>
      <c r="B53" s="220" t="e">
        <f aca="false">$B$33</f>
        <v>#N/A</v>
      </c>
      <c r="C53" s="220" t="n">
        <f aca="false">CH27</f>
        <v>0</v>
      </c>
      <c r="D53" s="220" t="e">
        <f aca="false">MIN(C53,B53)</f>
        <v>#N/A</v>
      </c>
      <c r="E53" s="220" t="n">
        <f aca="false">Model!CJ334</f>
        <v>0</v>
      </c>
      <c r="F53" s="220" t="n">
        <f aca="false">E53*Assumptions!$B$59</f>
        <v>0</v>
      </c>
      <c r="G53" s="220" t="e">
        <f aca="false">MIN(E53+F53,MAX(0,B53-D53))</f>
        <v>#N/A</v>
      </c>
    </row>
    <row r="54" customFormat="false" ht="15" hidden="false" customHeight="true" outlineLevel="0" collapsed="false">
      <c r="A54" s="90" t="n">
        <v>2</v>
      </c>
      <c r="B54" s="220" t="e">
        <f aca="false">$B$33</f>
        <v>#N/A</v>
      </c>
      <c r="C54" s="220" t="e">
        <f aca="false">MAX(0,C53-D53)</f>
        <v>#N/A</v>
      </c>
      <c r="D54" s="220" t="e">
        <f aca="false">MIN(C54,B54)</f>
        <v>#N/A</v>
      </c>
      <c r="E54" s="220" t="e">
        <f aca="false">MAX(0,E53+F53-G53)</f>
        <v>#N/A</v>
      </c>
      <c r="F54" s="220" t="e">
        <f aca="false">E54*Assumptions!$B$59</f>
        <v>#N/A</v>
      </c>
      <c r="G54" s="220" t="e">
        <f aca="false">MIN(E54+F54,MAX(0,B54-D54))</f>
        <v>#N/A</v>
      </c>
    </row>
    <row r="55" customFormat="false" ht="15" hidden="false" customHeight="true" outlineLevel="0" collapsed="false">
      <c r="A55" s="90" t="n">
        <v>3</v>
      </c>
      <c r="B55" s="220" t="e">
        <f aca="false">$B$33</f>
        <v>#N/A</v>
      </c>
      <c r="C55" s="220" t="e">
        <f aca="false">MAX(0,C54-D54)</f>
        <v>#N/A</v>
      </c>
      <c r="D55" s="220" t="e">
        <f aca="false">MIN(C55,B55)</f>
        <v>#N/A</v>
      </c>
      <c r="E55" s="220" t="e">
        <f aca="false">MAX(0,E54+F54-G54)</f>
        <v>#N/A</v>
      </c>
      <c r="F55" s="220" t="e">
        <f aca="false">E55*Assumptions!$B$59</f>
        <v>#N/A</v>
      </c>
      <c r="G55" s="220" t="e">
        <f aca="false">MIN(E55+F55,MAX(0,B55-D55))</f>
        <v>#N/A</v>
      </c>
    </row>
    <row r="56" customFormat="false" ht="15" hidden="false" customHeight="true" outlineLevel="0" collapsed="false">
      <c r="A56" s="90" t="n">
        <v>4</v>
      </c>
      <c r="B56" s="220" t="e">
        <f aca="false">$B$33</f>
        <v>#N/A</v>
      </c>
      <c r="C56" s="220" t="e">
        <f aca="false">MAX(0,C55-D55)</f>
        <v>#N/A</v>
      </c>
      <c r="D56" s="220" t="e">
        <f aca="false">MIN(C56,B56)</f>
        <v>#N/A</v>
      </c>
      <c r="E56" s="220" t="e">
        <f aca="false">MAX(0,E55+F55-G55)</f>
        <v>#N/A</v>
      </c>
      <c r="F56" s="220" t="e">
        <f aca="false">E56*Assumptions!$B$59</f>
        <v>#N/A</v>
      </c>
      <c r="G56" s="220" t="e">
        <f aca="false">MIN(E56+F56,MAX(0,B56-D56))</f>
        <v>#N/A</v>
      </c>
    </row>
    <row r="57" customFormat="false" ht="15" hidden="false" customHeight="true" outlineLevel="0" collapsed="false">
      <c r="A57" s="90" t="n">
        <v>5</v>
      </c>
      <c r="B57" s="220" t="e">
        <f aca="false">$B$33</f>
        <v>#N/A</v>
      </c>
      <c r="C57" s="220" t="e">
        <f aca="false">MAX(0,C56-D56)</f>
        <v>#N/A</v>
      </c>
      <c r="D57" s="220" t="e">
        <f aca="false">MIN(C57,B57)</f>
        <v>#N/A</v>
      </c>
      <c r="E57" s="220" t="e">
        <f aca="false">MAX(0,E56+F56-G56)</f>
        <v>#N/A</v>
      </c>
      <c r="F57" s="220" t="e">
        <f aca="false">E57*Assumptions!$B$59</f>
        <v>#N/A</v>
      </c>
      <c r="G57" s="220" t="e">
        <f aca="false">MIN(E57+F57,MAX(0,B57-D57))</f>
        <v>#N/A</v>
      </c>
    </row>
    <row r="58" customFormat="false" ht="15" hidden="false" customHeight="true" outlineLevel="0" collapsed="false">
      <c r="A58" s="90" t="n">
        <v>6</v>
      </c>
      <c r="B58" s="220" t="e">
        <f aca="false">$B$33</f>
        <v>#N/A</v>
      </c>
      <c r="C58" s="220" t="e">
        <f aca="false">MAX(0,C57-D57)</f>
        <v>#N/A</v>
      </c>
      <c r="D58" s="220" t="e">
        <f aca="false">MIN(C58,B58)</f>
        <v>#N/A</v>
      </c>
      <c r="E58" s="220" t="e">
        <f aca="false">MAX(0,E57+F57-G57)</f>
        <v>#N/A</v>
      </c>
      <c r="F58" s="220" t="e">
        <f aca="false">E58*Assumptions!$B$59</f>
        <v>#N/A</v>
      </c>
      <c r="G58" s="220" t="e">
        <f aca="false">MIN(E58+F58,MAX(0,B58-D58))</f>
        <v>#N/A</v>
      </c>
    </row>
    <row r="59" customFormat="false" ht="15" hidden="false" customHeight="true" outlineLevel="0" collapsed="false">
      <c r="A59" s="90" t="n">
        <v>7</v>
      </c>
      <c r="B59" s="220" t="e">
        <f aca="false">$B$33</f>
        <v>#N/A</v>
      </c>
      <c r="C59" s="220" t="e">
        <f aca="false">MAX(0,C58-D58)</f>
        <v>#N/A</v>
      </c>
      <c r="D59" s="220" t="e">
        <f aca="false">MIN(C59,B59)</f>
        <v>#N/A</v>
      </c>
      <c r="E59" s="220" t="e">
        <f aca="false">MAX(0,E58+F58-G58)</f>
        <v>#N/A</v>
      </c>
      <c r="F59" s="220" t="e">
        <f aca="false">E59*Assumptions!$B$59</f>
        <v>#N/A</v>
      </c>
      <c r="G59" s="220" t="e">
        <f aca="false">MIN(E59+F59,MAX(0,B59-D59))</f>
        <v>#N/A</v>
      </c>
    </row>
    <row r="60" customFormat="false" ht="15" hidden="false" customHeight="true" outlineLevel="0" collapsed="false">
      <c r="A60" s="90" t="n">
        <v>8</v>
      </c>
      <c r="B60" s="220" t="e">
        <f aca="false">$B$33</f>
        <v>#N/A</v>
      </c>
      <c r="C60" s="220" t="e">
        <f aca="false">MAX(0,C59-D59)</f>
        <v>#N/A</v>
      </c>
      <c r="D60" s="220" t="e">
        <f aca="false">MIN(C60,B60)</f>
        <v>#N/A</v>
      </c>
      <c r="E60" s="220" t="e">
        <f aca="false">MAX(0,E59+F59-G59)</f>
        <v>#N/A</v>
      </c>
      <c r="F60" s="220" t="e">
        <f aca="false">E60*Assumptions!$B$59</f>
        <v>#N/A</v>
      </c>
      <c r="G60" s="220" t="e">
        <f aca="false">MIN(E60+F60,MAX(0,B60-D60))</f>
        <v>#N/A</v>
      </c>
    </row>
    <row r="61" customFormat="false" ht="15" hidden="false" customHeight="true" outlineLevel="0" collapsed="false">
      <c r="A61" s="90" t="n">
        <v>9</v>
      </c>
      <c r="B61" s="220" t="e">
        <f aca="false">$B$33</f>
        <v>#N/A</v>
      </c>
      <c r="C61" s="220" t="e">
        <f aca="false">MAX(0,C60-D60)</f>
        <v>#N/A</v>
      </c>
      <c r="D61" s="220" t="e">
        <f aca="false">MIN(C61,B61)</f>
        <v>#N/A</v>
      </c>
      <c r="E61" s="220" t="e">
        <f aca="false">MAX(0,E60+F60-G60)</f>
        <v>#N/A</v>
      </c>
      <c r="F61" s="220" t="e">
        <f aca="false">E61*Assumptions!$B$59</f>
        <v>#N/A</v>
      </c>
      <c r="G61" s="220" t="e">
        <f aca="false">MIN(E61+F61,MAX(0,B61-D61))</f>
        <v>#N/A</v>
      </c>
    </row>
    <row r="62" customFormat="false" ht="15" hidden="false" customHeight="true" outlineLevel="0" collapsed="false">
      <c r="A62" s="90" t="n">
        <v>10</v>
      </c>
      <c r="B62" s="220" t="e">
        <f aca="false">$B$33</f>
        <v>#N/A</v>
      </c>
      <c r="C62" s="220" t="e">
        <f aca="false">MAX(0,C61-D61)</f>
        <v>#N/A</v>
      </c>
      <c r="D62" s="220" t="e">
        <f aca="false">MIN(C62,B62)</f>
        <v>#N/A</v>
      </c>
      <c r="E62" s="220" t="e">
        <f aca="false">MAX(0,E61+F61-G61)</f>
        <v>#N/A</v>
      </c>
      <c r="F62" s="220" t="e">
        <f aca="false">E62*Assumptions!$B$59</f>
        <v>#N/A</v>
      </c>
      <c r="G62" s="220" t="e">
        <f aca="false">MIN(E62+F62,MAX(0,B62-D62))</f>
        <v>#N/A</v>
      </c>
    </row>
    <row r="63" customFormat="false" ht="15" hidden="false" customHeight="true" outlineLevel="0" collapsed="false">
      <c r="A63" s="90" t="n">
        <v>11</v>
      </c>
      <c r="B63" s="220" t="e">
        <f aca="false">$B$33</f>
        <v>#N/A</v>
      </c>
      <c r="C63" s="220" t="e">
        <f aca="false">MAX(0,C62-D62)</f>
        <v>#N/A</v>
      </c>
      <c r="D63" s="220" t="e">
        <f aca="false">MIN(C63,B63)</f>
        <v>#N/A</v>
      </c>
      <c r="E63" s="220" t="e">
        <f aca="false">MAX(0,E62+F62-G62)</f>
        <v>#N/A</v>
      </c>
      <c r="F63" s="220" t="e">
        <f aca="false">E63*Assumptions!$B$59</f>
        <v>#N/A</v>
      </c>
      <c r="G63" s="220" t="e">
        <f aca="false">MIN(E63+F63,MAX(0,B63-D63))</f>
        <v>#N/A</v>
      </c>
    </row>
    <row r="64" customFormat="false" ht="15" hidden="false" customHeight="true" outlineLevel="0" collapsed="false">
      <c r="A64" s="90" t="n">
        <v>12</v>
      </c>
      <c r="B64" s="220" t="e">
        <f aca="false">$B$33</f>
        <v>#N/A</v>
      </c>
      <c r="C64" s="220" t="e">
        <f aca="false">MAX(0,C63-D63)</f>
        <v>#N/A</v>
      </c>
      <c r="D64" s="220" t="e">
        <f aca="false">MIN(C64,B64)</f>
        <v>#N/A</v>
      </c>
      <c r="E64" s="220" t="e">
        <f aca="false">MAX(0,E63+F63-G63)</f>
        <v>#N/A</v>
      </c>
      <c r="F64" s="220" t="e">
        <f aca="false">E64*Assumptions!$B$59</f>
        <v>#N/A</v>
      </c>
      <c r="G64" s="220" t="e">
        <f aca="false">MIN(E64+F64,MAX(0,B64-D64))</f>
        <v>#N/A</v>
      </c>
    </row>
    <row r="65" customFormat="false" ht="15" hidden="false" customHeight="true" outlineLevel="0" collapsed="false">
      <c r="A65" s="90" t="n">
        <v>13</v>
      </c>
      <c r="B65" s="220" t="e">
        <f aca="false">$B$33</f>
        <v>#N/A</v>
      </c>
      <c r="C65" s="220" t="e">
        <f aca="false">MAX(0,C64-D64)</f>
        <v>#N/A</v>
      </c>
      <c r="D65" s="220" t="e">
        <f aca="false">MIN(C65,B65)</f>
        <v>#N/A</v>
      </c>
      <c r="E65" s="220" t="e">
        <f aca="false">MAX(0,E64+F64-G64)</f>
        <v>#N/A</v>
      </c>
      <c r="F65" s="220" t="e">
        <f aca="false">E65*Assumptions!$B$59</f>
        <v>#N/A</v>
      </c>
      <c r="G65" s="220" t="e">
        <f aca="false">MIN(E65+F65,MAX(0,B65-D65))</f>
        <v>#N/A</v>
      </c>
    </row>
    <row r="66" customFormat="false" ht="15" hidden="false" customHeight="true" outlineLevel="0" collapsed="false">
      <c r="A66" s="90" t="n">
        <v>14</v>
      </c>
      <c r="B66" s="220" t="e">
        <f aca="false">$B$33</f>
        <v>#N/A</v>
      </c>
      <c r="C66" s="220" t="e">
        <f aca="false">MAX(0,C65-D65)</f>
        <v>#N/A</v>
      </c>
      <c r="D66" s="220" t="e">
        <f aca="false">MIN(C66,B66)</f>
        <v>#N/A</v>
      </c>
      <c r="E66" s="220" t="e">
        <f aca="false">MAX(0,E65+F65-G65)</f>
        <v>#N/A</v>
      </c>
      <c r="F66" s="220" t="e">
        <f aca="false">E66*Assumptions!$B$59</f>
        <v>#N/A</v>
      </c>
      <c r="G66" s="220" t="e">
        <f aca="false">MIN(E66+F66,MAX(0,B66-D66))</f>
        <v>#N/A</v>
      </c>
    </row>
    <row r="67" customFormat="false" ht="15" hidden="false" customHeight="true" outlineLevel="0" collapsed="false">
      <c r="A67" s="90" t="n">
        <v>15</v>
      </c>
      <c r="B67" s="220" t="e">
        <f aca="false">$B$33</f>
        <v>#N/A</v>
      </c>
      <c r="C67" s="220" t="e">
        <f aca="false">MAX(0,C66-D66)</f>
        <v>#N/A</v>
      </c>
      <c r="D67" s="220" t="e">
        <f aca="false">MIN(C67,B67)</f>
        <v>#N/A</v>
      </c>
      <c r="E67" s="220" t="e">
        <f aca="false">MAX(0,E66+F66-G66)</f>
        <v>#N/A</v>
      </c>
      <c r="F67" s="220" t="e">
        <f aca="false">E67*Assumptions!$B$59</f>
        <v>#N/A</v>
      </c>
      <c r="G67" s="220" t="e">
        <f aca="false">MIN(E67+F67,MAX(0,B67-D67))</f>
        <v>#N/A</v>
      </c>
    </row>
    <row r="68" customFormat="false" ht="15" hidden="false" customHeight="true" outlineLevel="0" collapsed="false">
      <c r="A68" s="90" t="n">
        <v>16</v>
      </c>
      <c r="B68" s="220" t="e">
        <f aca="false">$B$33</f>
        <v>#N/A</v>
      </c>
      <c r="C68" s="220" t="e">
        <f aca="false">MAX(0,C67-D67)</f>
        <v>#N/A</v>
      </c>
      <c r="D68" s="220" t="e">
        <f aca="false">MIN(C68,B68)</f>
        <v>#N/A</v>
      </c>
      <c r="E68" s="220" t="e">
        <f aca="false">MAX(0,E67+F67-G67)</f>
        <v>#N/A</v>
      </c>
      <c r="F68" s="220" t="e">
        <f aca="false">E68*Assumptions!$B$59</f>
        <v>#N/A</v>
      </c>
      <c r="G68" s="220" t="e">
        <f aca="false">MIN(E68+F68,MAX(0,B68-D68))</f>
        <v>#N/A</v>
      </c>
    </row>
    <row r="69" customFormat="false" ht="15" hidden="false" customHeight="true" outlineLevel="0" collapsed="false">
      <c r="A69" s="90" t="n">
        <v>17</v>
      </c>
      <c r="B69" s="220" t="e">
        <f aca="false">$B$33</f>
        <v>#N/A</v>
      </c>
      <c r="C69" s="220" t="e">
        <f aca="false">MAX(0,C68-D68)</f>
        <v>#N/A</v>
      </c>
      <c r="D69" s="220" t="e">
        <f aca="false">MIN(C69,B69)</f>
        <v>#N/A</v>
      </c>
      <c r="E69" s="220" t="e">
        <f aca="false">MAX(0,E68+F68-G68)</f>
        <v>#N/A</v>
      </c>
      <c r="F69" s="220" t="e">
        <f aca="false">E69*Assumptions!$B$59</f>
        <v>#N/A</v>
      </c>
      <c r="G69" s="220" t="e">
        <f aca="false">MIN(E69+F69,MAX(0,B69-D69))</f>
        <v>#N/A</v>
      </c>
    </row>
    <row r="70" customFormat="false" ht="15" hidden="false" customHeight="true" outlineLevel="0" collapsed="false">
      <c r="A70" s="90" t="n">
        <v>18</v>
      </c>
      <c r="B70" s="220" t="e">
        <f aca="false">$B$33</f>
        <v>#N/A</v>
      </c>
      <c r="C70" s="220" t="e">
        <f aca="false">MAX(0,C69-D69)</f>
        <v>#N/A</v>
      </c>
      <c r="D70" s="220" t="e">
        <f aca="false">MIN(C70,B70)</f>
        <v>#N/A</v>
      </c>
      <c r="E70" s="220" t="e">
        <f aca="false">MAX(0,E69+F69-G69)</f>
        <v>#N/A</v>
      </c>
      <c r="F70" s="220" t="e">
        <f aca="false">E70*Assumptions!$B$59</f>
        <v>#N/A</v>
      </c>
      <c r="G70" s="220" t="e">
        <f aca="false">MIN(E70+F70,MAX(0,B70-D70))</f>
        <v>#N/A</v>
      </c>
    </row>
    <row r="71" customFormat="false" ht="15" hidden="false" customHeight="true" outlineLevel="0" collapsed="false">
      <c r="A71" s="90" t="n">
        <v>19</v>
      </c>
      <c r="B71" s="220" t="e">
        <f aca="false">$B$33</f>
        <v>#N/A</v>
      </c>
      <c r="C71" s="220" t="e">
        <f aca="false">MAX(0,C70-D70)</f>
        <v>#N/A</v>
      </c>
      <c r="D71" s="220" t="e">
        <f aca="false">MIN(C71,B71)</f>
        <v>#N/A</v>
      </c>
      <c r="E71" s="220" t="e">
        <f aca="false">MAX(0,E70+F70-G70)</f>
        <v>#N/A</v>
      </c>
      <c r="F71" s="220" t="e">
        <f aca="false">E71*Assumptions!$B$59</f>
        <v>#N/A</v>
      </c>
      <c r="G71" s="220" t="e">
        <f aca="false">MIN(E71+F71,MAX(0,B71-D71))</f>
        <v>#N/A</v>
      </c>
    </row>
    <row r="72" customFormat="false" ht="15" hidden="false" customHeight="true" outlineLevel="0" collapsed="false">
      <c r="A72" s="90" t="n">
        <v>20</v>
      </c>
      <c r="B72" s="220" t="e">
        <f aca="false">$B$33</f>
        <v>#N/A</v>
      </c>
      <c r="C72" s="220" t="e">
        <f aca="false">MAX(0,C71-D71)</f>
        <v>#N/A</v>
      </c>
      <c r="D72" s="220" t="e">
        <f aca="false">MIN(C72,B72)</f>
        <v>#N/A</v>
      </c>
      <c r="E72" s="220" t="e">
        <f aca="false">MAX(0,E71+F71-G71)</f>
        <v>#N/A</v>
      </c>
      <c r="F72" s="220" t="e">
        <f aca="false">E72*Assumptions!$B$59</f>
        <v>#N/A</v>
      </c>
      <c r="G72" s="220" t="e">
        <f aca="false">MIN(E72+F72,MAX(0,B72-D72))</f>
        <v>#N/A</v>
      </c>
    </row>
    <row r="73" customFormat="false" ht="15" hidden="false" customHeight="true" outlineLevel="0" collapsed="false">
      <c r="A73" s="90" t="n">
        <v>21</v>
      </c>
      <c r="B73" s="220" t="e">
        <f aca="false">$B$33</f>
        <v>#N/A</v>
      </c>
      <c r="C73" s="220" t="e">
        <f aca="false">MAX(0,C72-D72)</f>
        <v>#N/A</v>
      </c>
      <c r="D73" s="220" t="e">
        <f aca="false">MIN(C73,B73)</f>
        <v>#N/A</v>
      </c>
      <c r="E73" s="220" t="e">
        <f aca="false">MAX(0,E72+F72-G72)</f>
        <v>#N/A</v>
      </c>
      <c r="F73" s="220" t="e">
        <f aca="false">E73*Assumptions!$B$59</f>
        <v>#N/A</v>
      </c>
      <c r="G73" s="220" t="e">
        <f aca="false">MIN(E73+F73,MAX(0,B73-D73))</f>
        <v>#N/A</v>
      </c>
    </row>
    <row r="74" customFormat="false" ht="15" hidden="false" customHeight="true" outlineLevel="0" collapsed="false">
      <c r="A74" s="90" t="n">
        <v>22</v>
      </c>
      <c r="B74" s="220" t="e">
        <f aca="false">$B$33</f>
        <v>#N/A</v>
      </c>
      <c r="C74" s="220" t="e">
        <f aca="false">MAX(0,C73-D73)</f>
        <v>#N/A</v>
      </c>
      <c r="D74" s="220" t="e">
        <f aca="false">MIN(C74,B74)</f>
        <v>#N/A</v>
      </c>
      <c r="E74" s="220" t="e">
        <f aca="false">MAX(0,E73+F73-G73)</f>
        <v>#N/A</v>
      </c>
      <c r="F74" s="220" t="e">
        <f aca="false">E74*Assumptions!$B$59</f>
        <v>#N/A</v>
      </c>
      <c r="G74" s="220" t="e">
        <f aca="false">MIN(E74+F74,MAX(0,B74-D74))</f>
        <v>#N/A</v>
      </c>
    </row>
    <row r="75" customFormat="false" ht="15" hidden="false" customHeight="true" outlineLevel="0" collapsed="false">
      <c r="A75" s="90" t="n">
        <v>23</v>
      </c>
      <c r="B75" s="220" t="e">
        <f aca="false">$B$33</f>
        <v>#N/A</v>
      </c>
      <c r="C75" s="220" t="e">
        <f aca="false">MAX(0,C74-D74)</f>
        <v>#N/A</v>
      </c>
      <c r="D75" s="220" t="e">
        <f aca="false">MIN(C75,B75)</f>
        <v>#N/A</v>
      </c>
      <c r="E75" s="220" t="e">
        <f aca="false">MAX(0,E74+F74-G74)</f>
        <v>#N/A</v>
      </c>
      <c r="F75" s="220" t="e">
        <f aca="false">E75*Assumptions!$B$59</f>
        <v>#N/A</v>
      </c>
      <c r="G75" s="220" t="e">
        <f aca="false">MIN(E75+F75,MAX(0,B75-D75))</f>
        <v>#N/A</v>
      </c>
    </row>
    <row r="76" customFormat="false" ht="15" hidden="false" customHeight="true" outlineLevel="0" collapsed="false">
      <c r="A76" s="90" t="n">
        <v>24</v>
      </c>
      <c r="B76" s="220" t="e">
        <f aca="false">$B$33</f>
        <v>#N/A</v>
      </c>
      <c r="C76" s="220" t="e">
        <f aca="false">MAX(0,C75-D75)</f>
        <v>#N/A</v>
      </c>
      <c r="D76" s="220" t="e">
        <f aca="false">MIN(C76,B76)</f>
        <v>#N/A</v>
      </c>
      <c r="E76" s="220" t="e">
        <f aca="false">MAX(0,E75+F75-G75)</f>
        <v>#N/A</v>
      </c>
      <c r="F76" s="220" t="e">
        <f aca="false">E76*Assumptions!$B$59</f>
        <v>#N/A</v>
      </c>
      <c r="G76" s="220" t="e">
        <f aca="false">MIN(E76+F76,MAX(0,B76-D76))</f>
        <v>#N/A</v>
      </c>
    </row>
    <row r="77" customFormat="false" ht="15" hidden="false" customHeight="true" outlineLevel="0" collapsed="false">
      <c r="A77" s="90" t="n">
        <v>25</v>
      </c>
      <c r="B77" s="220" t="e">
        <f aca="false">$B$33</f>
        <v>#N/A</v>
      </c>
      <c r="C77" s="220" t="e">
        <f aca="false">MAX(0,C76-D76)</f>
        <v>#N/A</v>
      </c>
      <c r="D77" s="220" t="e">
        <f aca="false">MIN(C77,B77)</f>
        <v>#N/A</v>
      </c>
      <c r="E77" s="220" t="e">
        <f aca="false">MAX(0,E76+F76-G76)</f>
        <v>#N/A</v>
      </c>
      <c r="F77" s="220" t="e">
        <f aca="false">E77*Assumptions!$B$59</f>
        <v>#N/A</v>
      </c>
      <c r="G77" s="220" t="e">
        <f aca="false">MIN(E77+F77,MAX(0,B77-D77))</f>
        <v>#N/A</v>
      </c>
    </row>
    <row r="78" customFormat="false" ht="15" hidden="false" customHeight="true" outlineLevel="0" collapsed="false">
      <c r="A78" s="90" t="n">
        <v>26</v>
      </c>
      <c r="B78" s="220" t="e">
        <f aca="false">$B$33</f>
        <v>#N/A</v>
      </c>
      <c r="C78" s="220" t="e">
        <f aca="false">MAX(0,C77-D77)</f>
        <v>#N/A</v>
      </c>
      <c r="D78" s="220" t="e">
        <f aca="false">MIN(C78,B78)</f>
        <v>#N/A</v>
      </c>
      <c r="E78" s="220" t="e">
        <f aca="false">MAX(0,E77+F77-G77)</f>
        <v>#N/A</v>
      </c>
      <c r="F78" s="220" t="e">
        <f aca="false">E78*Assumptions!$B$59</f>
        <v>#N/A</v>
      </c>
      <c r="G78" s="220" t="e">
        <f aca="false">MIN(E78+F78,MAX(0,B78-D78))</f>
        <v>#N/A</v>
      </c>
    </row>
    <row r="79" customFormat="false" ht="15" hidden="false" customHeight="true" outlineLevel="0" collapsed="false">
      <c r="A79" s="90" t="n">
        <v>27</v>
      </c>
      <c r="B79" s="220" t="e">
        <f aca="false">$B$33</f>
        <v>#N/A</v>
      </c>
      <c r="C79" s="220" t="e">
        <f aca="false">MAX(0,C78-D78)</f>
        <v>#N/A</v>
      </c>
      <c r="D79" s="220" t="e">
        <f aca="false">MIN(C79,B79)</f>
        <v>#N/A</v>
      </c>
      <c r="E79" s="220" t="e">
        <f aca="false">MAX(0,E78+F78-G78)</f>
        <v>#N/A</v>
      </c>
      <c r="F79" s="220" t="e">
        <f aca="false">E79*Assumptions!$B$59</f>
        <v>#N/A</v>
      </c>
      <c r="G79" s="220" t="e">
        <f aca="false">MIN(E79+F79,MAX(0,B79-D79))</f>
        <v>#N/A</v>
      </c>
    </row>
    <row r="80" customFormat="false" ht="15" hidden="false" customHeight="true" outlineLevel="0" collapsed="false">
      <c r="A80" s="90" t="n">
        <v>28</v>
      </c>
      <c r="B80" s="220" t="e">
        <f aca="false">$B$33</f>
        <v>#N/A</v>
      </c>
      <c r="C80" s="220" t="e">
        <f aca="false">MAX(0,C79-D79)</f>
        <v>#N/A</v>
      </c>
      <c r="D80" s="220" t="e">
        <f aca="false">MIN(C80,B80)</f>
        <v>#N/A</v>
      </c>
      <c r="E80" s="220" t="e">
        <f aca="false">MAX(0,E79+F79-G79)</f>
        <v>#N/A</v>
      </c>
      <c r="F80" s="220" t="e">
        <f aca="false">E80*Assumptions!$B$59</f>
        <v>#N/A</v>
      </c>
      <c r="G80" s="220" t="e">
        <f aca="false">MIN(E80+F80,MAX(0,B80-D80))</f>
        <v>#N/A</v>
      </c>
    </row>
    <row r="81" customFormat="false" ht="15" hidden="false" customHeight="true" outlineLevel="0" collapsed="false">
      <c r="A81" s="90" t="n">
        <v>29</v>
      </c>
      <c r="B81" s="220" t="e">
        <f aca="false">$B$33</f>
        <v>#N/A</v>
      </c>
      <c r="C81" s="220" t="e">
        <f aca="false">MAX(0,C80-D80)</f>
        <v>#N/A</v>
      </c>
      <c r="D81" s="220" t="e">
        <f aca="false">MIN(C81,B81)</f>
        <v>#N/A</v>
      </c>
      <c r="E81" s="220" t="e">
        <f aca="false">MAX(0,E80+F80-G80)</f>
        <v>#N/A</v>
      </c>
      <c r="F81" s="220" t="e">
        <f aca="false">E81*Assumptions!$B$59</f>
        <v>#N/A</v>
      </c>
      <c r="G81" s="220" t="e">
        <f aca="false">MIN(E81+F81,MAX(0,B81-D81))</f>
        <v>#N/A</v>
      </c>
    </row>
    <row r="82" customFormat="false" ht="15" hidden="false" customHeight="true" outlineLevel="0" collapsed="false">
      <c r="A82" s="90" t="n">
        <v>30</v>
      </c>
      <c r="B82" s="220" t="e">
        <f aca="false">$B$33</f>
        <v>#N/A</v>
      </c>
      <c r="C82" s="220" t="e">
        <f aca="false">MAX(0,C81-D81)</f>
        <v>#N/A</v>
      </c>
      <c r="D82" s="220" t="e">
        <f aca="false">MIN(C82,B82)</f>
        <v>#N/A</v>
      </c>
      <c r="E82" s="220" t="e">
        <f aca="false">MAX(0,E81+F81-G81)</f>
        <v>#N/A</v>
      </c>
      <c r="F82" s="220" t="e">
        <f aca="false">E82*Assumptions!$B$59</f>
        <v>#N/A</v>
      </c>
      <c r="G82" s="220" t="e">
        <f aca="false">MIN(E82+F82,MAX(0,B82-D82))</f>
        <v>#N/A</v>
      </c>
    </row>
    <row r="83" customFormat="false" ht="15" hidden="false" customHeight="true" outlineLevel="0" collapsed="false">
      <c r="A83" s="90" t="n">
        <v>31</v>
      </c>
      <c r="B83" s="220" t="e">
        <f aca="false">$B$33</f>
        <v>#N/A</v>
      </c>
      <c r="C83" s="220" t="e">
        <f aca="false">MAX(0,C82-D82)</f>
        <v>#N/A</v>
      </c>
      <c r="D83" s="220" t="e">
        <f aca="false">MIN(C83,B83)</f>
        <v>#N/A</v>
      </c>
      <c r="E83" s="220" t="e">
        <f aca="false">MAX(0,E82+F82-G82)</f>
        <v>#N/A</v>
      </c>
      <c r="F83" s="220" t="e">
        <f aca="false">E83*Assumptions!$B$59</f>
        <v>#N/A</v>
      </c>
      <c r="G83" s="220" t="e">
        <f aca="false">MIN(E83+F83,MAX(0,B83-D83))</f>
        <v>#N/A</v>
      </c>
    </row>
    <row r="84" customFormat="false" ht="15" hidden="false" customHeight="true" outlineLevel="0" collapsed="false">
      <c r="A84" s="90" t="n">
        <v>32</v>
      </c>
      <c r="B84" s="220" t="e">
        <f aca="false">$B$33</f>
        <v>#N/A</v>
      </c>
      <c r="C84" s="220" t="e">
        <f aca="false">MAX(0,C83-D83)</f>
        <v>#N/A</v>
      </c>
      <c r="D84" s="220" t="e">
        <f aca="false">MIN(C84,B84)</f>
        <v>#N/A</v>
      </c>
      <c r="E84" s="220" t="e">
        <f aca="false">MAX(0,E83+F83-G83)</f>
        <v>#N/A</v>
      </c>
      <c r="F84" s="220" t="e">
        <f aca="false">E84*Assumptions!$B$59</f>
        <v>#N/A</v>
      </c>
      <c r="G84" s="220" t="e">
        <f aca="false">MIN(E84+F84,MAX(0,B84-D84))</f>
        <v>#N/A</v>
      </c>
    </row>
    <row r="85" customFormat="false" ht="15" hidden="false" customHeight="true" outlineLevel="0" collapsed="false">
      <c r="A85" s="90" t="n">
        <v>33</v>
      </c>
      <c r="B85" s="220" t="e">
        <f aca="false">$B$33</f>
        <v>#N/A</v>
      </c>
      <c r="C85" s="220" t="e">
        <f aca="false">MAX(0,C84-D84)</f>
        <v>#N/A</v>
      </c>
      <c r="D85" s="220" t="e">
        <f aca="false">MIN(C85,B85)</f>
        <v>#N/A</v>
      </c>
      <c r="E85" s="220" t="e">
        <f aca="false">MAX(0,E84+F84-G84)</f>
        <v>#N/A</v>
      </c>
      <c r="F85" s="220" t="e">
        <f aca="false">E85*Assumptions!$B$59</f>
        <v>#N/A</v>
      </c>
      <c r="G85" s="220" t="e">
        <f aca="false">MIN(E85+F85,MAX(0,B85-D85))</f>
        <v>#N/A</v>
      </c>
    </row>
    <row r="86" customFormat="false" ht="15" hidden="false" customHeight="true" outlineLevel="0" collapsed="false">
      <c r="A86" s="90" t="n">
        <v>34</v>
      </c>
      <c r="B86" s="220" t="e">
        <f aca="false">$B$33</f>
        <v>#N/A</v>
      </c>
      <c r="C86" s="220" t="e">
        <f aca="false">MAX(0,C85-D85)</f>
        <v>#N/A</v>
      </c>
      <c r="D86" s="220" t="e">
        <f aca="false">MIN(C86,B86)</f>
        <v>#N/A</v>
      </c>
      <c r="E86" s="220" t="e">
        <f aca="false">MAX(0,E85+F85-G85)</f>
        <v>#N/A</v>
      </c>
      <c r="F86" s="220" t="e">
        <f aca="false">E86*Assumptions!$B$59</f>
        <v>#N/A</v>
      </c>
      <c r="G86" s="220" t="e">
        <f aca="false">MIN(E86+F86,MAX(0,B86-D86))</f>
        <v>#N/A</v>
      </c>
    </row>
    <row r="87" customFormat="false" ht="15" hidden="false" customHeight="true" outlineLevel="0" collapsed="false">
      <c r="A87" s="90" t="n">
        <v>35</v>
      </c>
      <c r="B87" s="220" t="e">
        <f aca="false">$B$33</f>
        <v>#N/A</v>
      </c>
      <c r="C87" s="220" t="e">
        <f aca="false">MAX(0,C86-D86)</f>
        <v>#N/A</v>
      </c>
      <c r="D87" s="220" t="e">
        <f aca="false">MIN(C87,B87)</f>
        <v>#N/A</v>
      </c>
      <c r="E87" s="220" t="e">
        <f aca="false">MAX(0,E86+F86-G86)</f>
        <v>#N/A</v>
      </c>
      <c r="F87" s="220" t="e">
        <f aca="false">E87*Assumptions!$B$59</f>
        <v>#N/A</v>
      </c>
      <c r="G87" s="220" t="e">
        <f aca="false">MIN(E87+F87,MAX(0,B87-D87))</f>
        <v>#N/A</v>
      </c>
    </row>
    <row r="88" customFormat="false" ht="15" hidden="false" customHeight="true" outlineLevel="0" collapsed="false">
      <c r="A88" s="90" t="n">
        <v>36</v>
      </c>
      <c r="B88" s="220" t="e">
        <f aca="false">$B$33</f>
        <v>#N/A</v>
      </c>
      <c r="C88" s="220" t="e">
        <f aca="false">MAX(0,C87-D87)</f>
        <v>#N/A</v>
      </c>
      <c r="D88" s="220" t="e">
        <f aca="false">MIN(C88,B88)</f>
        <v>#N/A</v>
      </c>
      <c r="E88" s="220" t="e">
        <f aca="false">MAX(0,E87+F87-G87)</f>
        <v>#N/A</v>
      </c>
      <c r="F88" s="220" t="e">
        <f aca="false">E88*Assumptions!$B$59</f>
        <v>#N/A</v>
      </c>
      <c r="G88" s="220" t="e">
        <f aca="false">MIN(E88+F88,MAX(0,B88-D88))</f>
        <v>#N/A</v>
      </c>
    </row>
    <row r="89" customFormat="false" ht="15" hidden="false" customHeight="true" outlineLevel="0" collapsed="false">
      <c r="A89" s="90" t="n">
        <v>37</v>
      </c>
      <c r="B89" s="220" t="e">
        <f aca="false">$B$33</f>
        <v>#N/A</v>
      </c>
      <c r="C89" s="220" t="e">
        <f aca="false">MAX(0,C88-D88)</f>
        <v>#N/A</v>
      </c>
      <c r="D89" s="220" t="e">
        <f aca="false">MIN(C89,B89)</f>
        <v>#N/A</v>
      </c>
      <c r="E89" s="220" t="e">
        <f aca="false">MAX(0,E88+F88-G88)</f>
        <v>#N/A</v>
      </c>
      <c r="F89" s="220" t="e">
        <f aca="false">E89*Assumptions!$B$59</f>
        <v>#N/A</v>
      </c>
      <c r="G89" s="220" t="e">
        <f aca="false">MIN(E89+F89,MAX(0,B89-D89))</f>
        <v>#N/A</v>
      </c>
    </row>
    <row r="90" customFormat="false" ht="15" hidden="false" customHeight="true" outlineLevel="0" collapsed="false">
      <c r="A90" s="90" t="n">
        <v>38</v>
      </c>
      <c r="B90" s="220" t="e">
        <f aca="false">$B$33</f>
        <v>#N/A</v>
      </c>
      <c r="C90" s="220" t="e">
        <f aca="false">MAX(0,C89-D89)</f>
        <v>#N/A</v>
      </c>
      <c r="D90" s="220" t="e">
        <f aca="false">MIN(C90,B90)</f>
        <v>#N/A</v>
      </c>
      <c r="E90" s="220" t="e">
        <f aca="false">MAX(0,E89+F89-G89)</f>
        <v>#N/A</v>
      </c>
      <c r="F90" s="220" t="e">
        <f aca="false">E90*Assumptions!$B$59</f>
        <v>#N/A</v>
      </c>
      <c r="G90" s="220" t="e">
        <f aca="false">MIN(E90+F90,MAX(0,B90-D90))</f>
        <v>#N/A</v>
      </c>
    </row>
    <row r="91" customFormat="false" ht="15" hidden="false" customHeight="true" outlineLevel="0" collapsed="false">
      <c r="A91" s="90" t="n">
        <v>39</v>
      </c>
      <c r="B91" s="220" t="e">
        <f aca="false">$B$33</f>
        <v>#N/A</v>
      </c>
      <c r="C91" s="220" t="e">
        <f aca="false">MAX(0,C90-D90)</f>
        <v>#N/A</v>
      </c>
      <c r="D91" s="220" t="e">
        <f aca="false">MIN(C91,B91)</f>
        <v>#N/A</v>
      </c>
      <c r="E91" s="220" t="e">
        <f aca="false">MAX(0,E90+F90-G90)</f>
        <v>#N/A</v>
      </c>
      <c r="F91" s="220" t="e">
        <f aca="false">E91*Assumptions!$B$59</f>
        <v>#N/A</v>
      </c>
      <c r="G91" s="220" t="e">
        <f aca="false">MIN(E91+F91,MAX(0,B91-D91))</f>
        <v>#N/A</v>
      </c>
    </row>
    <row r="92" customFormat="false" ht="15" hidden="false" customHeight="true" outlineLevel="0" collapsed="false">
      <c r="A92" s="90" t="n">
        <v>40</v>
      </c>
      <c r="B92" s="220" t="e">
        <f aca="false">$B$33</f>
        <v>#N/A</v>
      </c>
      <c r="C92" s="220" t="e">
        <f aca="false">MAX(0,C91-D91)</f>
        <v>#N/A</v>
      </c>
      <c r="D92" s="220" t="e">
        <f aca="false">MIN(C92,B92)</f>
        <v>#N/A</v>
      </c>
      <c r="E92" s="220" t="e">
        <f aca="false">MAX(0,E91+F91-G91)</f>
        <v>#N/A</v>
      </c>
      <c r="F92" s="220" t="e">
        <f aca="false">E92*Assumptions!$B$59</f>
        <v>#N/A</v>
      </c>
      <c r="G92" s="220" t="e">
        <f aca="false">MIN(E92+F92,MAX(0,B92-D92))</f>
        <v>#N/A</v>
      </c>
    </row>
    <row r="93" customFormat="false" ht="15" hidden="false" customHeight="true" outlineLevel="0" collapsed="false">
      <c r="A93" s="309" t="s">
        <v>1173</v>
      </c>
      <c r="D93" s="311" t="e">
        <f aca="false">SUM(D53:D92)</f>
        <v>#N/A</v>
      </c>
      <c r="F93" s="311" t="e">
        <f aca="false">SUM(F53:F92)</f>
        <v>#N/A</v>
      </c>
      <c r="G93" s="311" t="e">
        <f aca="false">SUM(G53:G92)</f>
        <v>#N/A</v>
      </c>
    </row>
    <row r="94" customFormat="false" ht="15" hidden="false" customHeight="true" outlineLevel="0" collapsed="false">
      <c r="A94" s="1" t="s">
        <v>1174</v>
      </c>
    </row>
    <row r="95" customFormat="false" ht="15" hidden="false" customHeight="true" outlineLevel="0" collapsed="false">
      <c r="A95" s="1" t="s">
        <v>1175</v>
      </c>
    </row>
    <row r="96" customFormat="false" ht="15" hidden="false" customHeight="true" outlineLevel="0" collapsed="false">
      <c r="A96" s="72" t="s">
        <v>1176</v>
      </c>
      <c r="B96" s="312" t="n">
        <f aca="false">SUM(Actuals!C112:N112)</f>
        <v>-1672913.98</v>
      </c>
      <c r="C96" s="313"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3"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3"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3"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3"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3"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3"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3"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3"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3"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3"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3"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3"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3"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3"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3"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704975.480105</v>
      </c>
      <c r="S96" s="313"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808355.2766575</v>
      </c>
      <c r="T96" s="313"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904109.9398175</v>
      </c>
      <c r="U96" s="313"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986361.12969875</v>
      </c>
      <c r="V96" s="313"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1049655.81266</v>
      </c>
      <c r="W96" s="313"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1089573.841655</v>
      </c>
      <c r="X96" s="313"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1103214.0205125</v>
      </c>
      <c r="Y96" s="313"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1089573.841655</v>
      </c>
      <c r="Z96" s="313"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1049655.81266</v>
      </c>
      <c r="AA96" s="313"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986361.12969875</v>
      </c>
      <c r="AB96" s="313"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904109.9398175</v>
      </c>
      <c r="AC96" s="313"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808355.2766575</v>
      </c>
      <c r="AD96" s="313"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704975.480105</v>
      </c>
      <c r="AE96" s="313"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599712.1844675</v>
      </c>
      <c r="AF96" s="313"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497623.49615875</v>
      </c>
      <c r="AG96" s="313"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402780.20352375</v>
      </c>
      <c r="AH96" s="313"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0</v>
      </c>
      <c r="AI96" s="313"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0</v>
      </c>
      <c r="AJ96" s="313"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0</v>
      </c>
      <c r="AK96" s="313"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0</v>
      </c>
      <c r="AL96" s="313"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0</v>
      </c>
      <c r="AM96" s="313"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0</v>
      </c>
      <c r="AN96" s="313"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0</v>
      </c>
      <c r="AO96" s="313"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0</v>
      </c>
      <c r="AP96" s="313"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0</v>
      </c>
      <c r="AQ96" s="313"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0</v>
      </c>
      <c r="AR96" s="313"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3"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3"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3"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3"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3"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3"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3"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3"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3"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3"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3"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3"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3"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3"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3"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3"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3"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3"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3"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3"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3"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3"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3"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3"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3"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3"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3"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3"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3"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3"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3"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3"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3"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3"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3"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3"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3"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3"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3"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3"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3"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3"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3"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3"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3"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3"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3"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3"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3"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3"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3"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3"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3"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3"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3"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3"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3"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3"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3"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3"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3"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3"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3"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3"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3"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3"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1177</v>
      </c>
      <c r="C97" s="313"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3"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3"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3"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3"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3"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3"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3"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3"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3"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3"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3"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3"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3"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3"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3"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796409.487501063</v>
      </c>
      <c r="S97" s="313"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899789.284053563</v>
      </c>
      <c r="T97" s="313"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995543.947213563</v>
      </c>
      <c r="U97" s="313"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1077795.13709481</v>
      </c>
      <c r="V97" s="313"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1141089.82005606</v>
      </c>
      <c r="W97" s="313"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1181007.84905106</v>
      </c>
      <c r="X97" s="313"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1194648.02790856</v>
      </c>
      <c r="Y97" s="313"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1181007.84905106</v>
      </c>
      <c r="Z97" s="313"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1141089.82005606</v>
      </c>
      <c r="AA97" s="313"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1077795.13709481</v>
      </c>
      <c r="AB97" s="313"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995543.947213563</v>
      </c>
      <c r="AC97" s="313"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899789.284053563</v>
      </c>
      <c r="AD97" s="313"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796409.487501063</v>
      </c>
      <c r="AE97" s="313"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691146.191863563</v>
      </c>
      <c r="AF97" s="313"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589057.503554813</v>
      </c>
      <c r="AG97" s="313"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585648.218315875</v>
      </c>
      <c r="AH97" s="313"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0</v>
      </c>
      <c r="AI97" s="313"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0</v>
      </c>
      <c r="AJ97" s="313"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0</v>
      </c>
      <c r="AK97" s="313"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0</v>
      </c>
      <c r="AL97" s="313"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0</v>
      </c>
      <c r="AM97" s="313"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0</v>
      </c>
      <c r="AN97" s="313"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0</v>
      </c>
      <c r="AO97" s="313"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0</v>
      </c>
      <c r="AP97" s="313"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0</v>
      </c>
      <c r="AQ97" s="313"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0</v>
      </c>
      <c r="AR97" s="313"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0</v>
      </c>
      <c r="AS97" s="313"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0</v>
      </c>
      <c r="AT97" s="313"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0</v>
      </c>
      <c r="AU97" s="313"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0</v>
      </c>
      <c r="AV97" s="313"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0</v>
      </c>
      <c r="AW97" s="313"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3"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3"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3"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3"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3"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3"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3"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3"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3"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3"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3"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3"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3"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3"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3"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3"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3"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3"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3"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3"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3"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3"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3"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3"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3"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3"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3"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3"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3"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3"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3"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3"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3"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3"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3"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3"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3"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3"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3"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3"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3"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3"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3"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3"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3"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3"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3"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3"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3"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3"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3"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3"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3"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3"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3"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3"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3"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3"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3"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3"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3"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1178</v>
      </c>
      <c r="C98" s="314" t="n">
        <f aca="false">IFERROR((C97-C96)/(Model!B199-(Model!B196)),0)</f>
        <v>0</v>
      </c>
      <c r="D98" s="314" t="n">
        <f aca="false">IFERROR((D97-D96)/(Model!C199-(Model!C196)),0)</f>
        <v>-0</v>
      </c>
      <c r="E98" s="314" t="n">
        <f aca="false">IFERROR((E97-E96)/(Model!D199-(Model!D196)),0)</f>
        <v>0</v>
      </c>
      <c r="F98" s="314" t="n">
        <f aca="false">IFERROR((F97-F96)/(Model!E199-(Model!E196)),0)</f>
        <v>0</v>
      </c>
      <c r="G98" s="314" t="n">
        <f aca="false">IFERROR((G97-G96)/(Model!F199-(Model!F196)),0)</f>
        <v>0</v>
      </c>
      <c r="H98" s="314" t="n">
        <f aca="false">IFERROR((H97-H96)/(Model!G199-(Model!G196)),0)</f>
        <v>0</v>
      </c>
      <c r="I98" s="314" t="n">
        <f aca="false">IFERROR((I97-I96)/(Model!H199-(Model!H196)),0)</f>
        <v>0</v>
      </c>
      <c r="J98" s="314" t="n">
        <f aca="false">IFERROR((J97-J96)/(Model!I199-(Model!I196)),0)</f>
        <v>0</v>
      </c>
      <c r="K98" s="314" t="n">
        <f aca="false">IFERROR((K97-K96)/(Model!J199-(Model!J196)),0)</f>
        <v>0</v>
      </c>
      <c r="L98" s="314" t="n">
        <f aca="false">IFERROR((L97-L96)/(Model!K199-(Model!K196)),0)</f>
        <v>0</v>
      </c>
      <c r="M98" s="314" t="n">
        <f aca="false">IFERROR((M97-M96)/(Model!L199-(Model!L196)),0)</f>
        <v>0</v>
      </c>
      <c r="N98" s="314" t="n">
        <f aca="false">IFERROR((N97-N96)/(Model!M199-(Model!M196)),0)</f>
        <v>0</v>
      </c>
      <c r="O98" s="314" t="n">
        <f aca="false">IFERROR((O97-O96)/(Model!N199-(Model!N196)),0)</f>
        <v>0.0992555403703348</v>
      </c>
      <c r="P98" s="314" t="n">
        <f aca="false">IFERROR((P97-P96)/(Model!O199-(Model!O196)),0)</f>
        <v>0.109898823276752</v>
      </c>
      <c r="Q98" s="314" t="n">
        <f aca="false">IFERROR((Q97-Q96)/(Model!P199-(Model!P196)),0)</f>
        <v>0.10721535904604</v>
      </c>
      <c r="R98" s="314" t="n">
        <f aca="false">IFERROR((R97-R96)/(Model!Q199-(Model!Q196)),0)</f>
        <v>0.114427468173584</v>
      </c>
      <c r="S98" s="314" t="n">
        <f aca="false">IFERROR((S97-S96)/(Model!R199-(Model!R196)),0)</f>
        <v>0.123037653825407</v>
      </c>
      <c r="T98" s="314" t="n">
        <f aca="false">IFERROR((T97-T96)/(Model!S199-(Model!S196)),0)</f>
        <v>0.125437754417104</v>
      </c>
      <c r="U98" s="314" t="n">
        <f aca="false">IFERROR((U97-U96)/(Model!T199-(Model!T196)),0)</f>
        <v>0.113456105471942</v>
      </c>
      <c r="V98" s="314" t="n">
        <f aca="false">IFERROR((V97-V96)/(Model!U199-(Model!U196)),0)</f>
        <v>0.130588604413185</v>
      </c>
      <c r="W98" s="314" t="n">
        <f aca="false">IFERROR((W97-W96)/(Model!V199-(Model!V196)),0)</f>
        <v>0.117411631750665</v>
      </c>
      <c r="X98" s="314" t="n">
        <f aca="false">IFERROR((X97-X96)/(Model!W199-(Model!W196)),0)</f>
        <v>0.137069905908346</v>
      </c>
      <c r="Y98" s="314" t="n">
        <f aca="false">IFERROR((Y97-Y96)/(Model!X199-(Model!X196)),0)</f>
        <v>0.108633172102278</v>
      </c>
      <c r="Z98" s="314" t="n">
        <f aca="false">IFERROR((Z97-Z96)/(Model!Y199-(Model!Y196)),0)</f>
        <v>0.134478415739947</v>
      </c>
      <c r="AA98" s="314" t="n">
        <f aca="false">IFERROR((AA97-AA96)/(Model!Z199-(Model!Z196)),0)</f>
        <v>0.113404827595899</v>
      </c>
      <c r="AB98" s="314" t="n">
        <f aca="false">IFERROR((AB97-AB96)/(Model!AA199-(Model!AA196)),0)</f>
        <v>0.109436184028567</v>
      </c>
      <c r="AC98" s="314" t="n">
        <f aca="false">IFERROR((AC97-AC96)/(Model!AB199-(Model!AB196)),0)</f>
        <v>0.140847778854237</v>
      </c>
      <c r="AD98" s="314" t="n">
        <f aca="false">IFERROR((AD97-AD96)/(Model!AC199-(Model!AC196)),0)</f>
        <v>0.217470379329337</v>
      </c>
      <c r="AE98" s="314" t="n">
        <f aca="false">IFERROR((AE97-AE96)/(Model!AD199-(Model!AD196)),0)</f>
        <v>0.20621417767512</v>
      </c>
      <c r="AF98" s="314" t="n">
        <f aca="false">IFERROR((AF97-AF96)/(Model!AE199-(Model!AE196)),0)</f>
        <v>0.210519585591881</v>
      </c>
      <c r="AG98" s="314" t="n">
        <f aca="false">IFERROR((AG97-AG96)/(Model!AF199-(Model!AF196)),0)</f>
        <v>0.302789068465117</v>
      </c>
      <c r="AH98" s="314" t="n">
        <f aca="false">IFERROR((AH97-AH96)/(Model!AG199-(Model!AG196)),0)</f>
        <v>0</v>
      </c>
      <c r="AI98" s="314" t="n">
        <f aca="false">IFERROR((AI97-AI96)/(Model!AH199-(Model!AH196)),0)</f>
        <v>0</v>
      </c>
      <c r="AJ98" s="314" t="n">
        <f aca="false">IFERROR((AJ97-AJ96)/(Model!AI199-(Model!AI196)),0)</f>
        <v>0</v>
      </c>
      <c r="AK98" s="314" t="n">
        <f aca="false">IFERROR((AK97-AK96)/(Model!AJ199-(Model!AJ196)),0)</f>
        <v>0</v>
      </c>
      <c r="AL98" s="314" t="n">
        <f aca="false">IFERROR((AL97-AL96)/(Model!AK199-(Model!AK196)),0)</f>
        <v>0</v>
      </c>
      <c r="AM98" s="314" t="n">
        <f aca="false">IFERROR((AM97-AM96)/(Model!AL199-(Model!AL196)),0)</f>
        <v>0</v>
      </c>
      <c r="AN98" s="314" t="n">
        <f aca="false">IFERROR((AN97-AN96)/(Model!AM199-(Model!AM196)),0)</f>
        <v>0</v>
      </c>
      <c r="AO98" s="314" t="n">
        <f aca="false">IFERROR((AO97-AO96)/(Model!AN199-(Model!AN196)),0)</f>
        <v>0</v>
      </c>
      <c r="AP98" s="314" t="n">
        <f aca="false">IFERROR((AP97-AP96)/(Model!AO199-(Model!AO196)),0)</f>
        <v>0</v>
      </c>
      <c r="AQ98" s="314" t="n">
        <f aca="false">IFERROR((AQ97-AQ96)/(Model!AP199-(Model!AP196)),0)</f>
        <v>0</v>
      </c>
      <c r="AR98" s="314" t="n">
        <f aca="false">IFERROR((AR97-AR96)/(Model!AQ199-(Model!AQ196)),0)</f>
        <v>0</v>
      </c>
      <c r="AS98" s="314" t="n">
        <f aca="false">IFERROR((AS97-AS96)/(Model!AR199-(Model!AR196)),0)</f>
        <v>0</v>
      </c>
      <c r="AT98" s="314" t="n">
        <f aca="false">IFERROR((AT97-AT96)/(Model!AS199-(Model!AS196)),0)</f>
        <v>0</v>
      </c>
      <c r="AU98" s="314" t="n">
        <f aca="false">IFERROR((AU97-AU96)/(Model!AT199-(Model!AT196)),0)</f>
        <v>0</v>
      </c>
      <c r="AV98" s="314" t="n">
        <f aca="false">IFERROR((AV97-AV96)/(Model!AU199-(Model!AU196)),0)</f>
        <v>0</v>
      </c>
      <c r="AW98" s="314" t="n">
        <f aca="false">IFERROR((AW97-AW96)/(Model!AV199-(Model!AV196)),0)</f>
        <v>0</v>
      </c>
      <c r="AX98" s="314" t="n">
        <f aca="false">IFERROR((AX97-AX96)/(Model!AW199-(Model!AW196)),0)</f>
        <v>0</v>
      </c>
      <c r="AY98" s="314" t="n">
        <f aca="false">IFERROR((AY97-AY96)/(Model!AX199-(Model!AX196)),0)</f>
        <v>0</v>
      </c>
      <c r="AZ98" s="314" t="n">
        <f aca="false">IFERROR((AZ97-AZ96)/(Model!AY199-(Model!AY196)),0)</f>
        <v>0</v>
      </c>
      <c r="BA98" s="314" t="n">
        <f aca="false">IFERROR((BA97-BA96)/(Model!AZ199-(Model!AZ196)),0)</f>
        <v>0</v>
      </c>
      <c r="BB98" s="314" t="n">
        <f aca="false">IFERROR((BB97-BB96)/(Model!BA199-(Model!BA196)),0)</f>
        <v>0</v>
      </c>
      <c r="BC98" s="314" t="n">
        <f aca="false">IFERROR((BC97-BC96)/(Model!BB199-(Model!BB196)),0)</f>
        <v>0</v>
      </c>
      <c r="BD98" s="314" t="n">
        <f aca="false">IFERROR((BD97-BD96)/(Model!BC199-(Model!BC196)),0)</f>
        <v>0</v>
      </c>
      <c r="BE98" s="314" t="n">
        <f aca="false">IFERROR((BE97-BE96)/(Model!BD199-(Model!BD196)),0)</f>
        <v>0</v>
      </c>
      <c r="BF98" s="314" t="n">
        <f aca="false">IFERROR((BF97-BF96)/(Model!BE199-(Model!BE196)),0)</f>
        <v>0</v>
      </c>
      <c r="BG98" s="314" t="n">
        <f aca="false">IFERROR((BG97-BG96)/(Model!BF199-(Model!BF196)),0)</f>
        <v>0</v>
      </c>
      <c r="BH98" s="314" t="n">
        <f aca="false">IFERROR((BH97-BH96)/(Model!BG199-(Model!BG196)),0)</f>
        <v>0</v>
      </c>
      <c r="BI98" s="314" t="n">
        <f aca="false">IFERROR((BI97-BI96)/(Model!BH199-(Model!BH196)),0)</f>
        <v>0</v>
      </c>
      <c r="BJ98" s="314" t="n">
        <f aca="false">IFERROR((BJ97-BJ96)/(Model!BI199-(Model!BI196)),0)</f>
        <v>0</v>
      </c>
      <c r="BK98" s="314" t="n">
        <f aca="false">IFERROR((BK97-BK96)/(Model!BJ199-(Model!BJ196)),0)</f>
        <v>0</v>
      </c>
      <c r="BL98" s="314" t="n">
        <f aca="false">IFERROR((BL97-BL96)/(Model!BK199-(Model!BK196)),0)</f>
        <v>0</v>
      </c>
      <c r="BM98" s="314" t="n">
        <f aca="false">IFERROR((BM97-BM96)/(Model!BL199-(Model!BL196)),0)</f>
        <v>0</v>
      </c>
      <c r="BN98" s="314" t="n">
        <f aca="false">IFERROR((BN97-BN96)/(Model!BM199-(Model!BM196)),0)</f>
        <v>0</v>
      </c>
      <c r="BO98" s="314" t="n">
        <f aca="false">IFERROR((BO97-BO96)/(Model!BN199-(Model!BN196)),0)</f>
        <v>0</v>
      </c>
      <c r="BP98" s="314" t="n">
        <f aca="false">IFERROR((BP97-BP96)/(Model!BO199-(Model!BO196)),0)</f>
        <v>0</v>
      </c>
      <c r="BQ98" s="314" t="n">
        <f aca="false">IFERROR((BQ97-BQ96)/(Model!BP199-(Model!BP196)),0)</f>
        <v>0</v>
      </c>
      <c r="BR98" s="314" t="n">
        <f aca="false">IFERROR((BR97-BR96)/(Model!BQ199-(Model!BQ196)),0)</f>
        <v>0</v>
      </c>
      <c r="BS98" s="314" t="n">
        <f aca="false">IFERROR((BS97-BS96)/(Model!BR199-(Model!BR196)),0)</f>
        <v>0</v>
      </c>
      <c r="BT98" s="314" t="n">
        <f aca="false">IFERROR((BT97-BT96)/(Model!BS199-(Model!BS196)),0)</f>
        <v>0</v>
      </c>
      <c r="BU98" s="314" t="n">
        <f aca="false">IFERROR((BU97-BU96)/(Model!BT199-(Model!BT196)),0)</f>
        <v>0</v>
      </c>
      <c r="BV98" s="314" t="n">
        <f aca="false">IFERROR((BV97-BV96)/(Model!BU199-(Model!BU196)),0)</f>
        <v>0</v>
      </c>
      <c r="BW98" s="314" t="n">
        <f aca="false">IFERROR((BW97-BW96)/(Model!BV199-(Model!BV196)),0)</f>
        <v>0</v>
      </c>
      <c r="BX98" s="314" t="n">
        <f aca="false">IFERROR((BX97-BX96)/(Model!BW199-(Model!BW196)),0)</f>
        <v>0</v>
      </c>
      <c r="BY98" s="314" t="n">
        <f aca="false">IFERROR((BY97-BY96)/(Model!BX199-(Model!BX196)),0)</f>
        <v>0</v>
      </c>
      <c r="BZ98" s="314" t="n">
        <f aca="false">IFERROR((BZ97-BZ96)/(Model!BY199-(Model!BY196)),0)</f>
        <v>0</v>
      </c>
      <c r="CA98" s="314" t="n">
        <f aca="false">IFERROR((CA97-CA96)/(Model!BZ199-(Model!BZ196)),0)</f>
        <v>0</v>
      </c>
      <c r="CB98" s="314" t="n">
        <f aca="false">IFERROR((CB97-CB96)/(Model!CA199-(Model!CA196)),0)</f>
        <v>0</v>
      </c>
      <c r="CC98" s="314" t="n">
        <f aca="false">IFERROR((CC97-CC96)/(Model!CB199-(Model!CB196)),0)</f>
        <v>0</v>
      </c>
      <c r="CD98" s="314" t="n">
        <f aca="false">IFERROR((CD97-CD96)/(Model!CC199-(Model!CC196)),0)</f>
        <v>0</v>
      </c>
      <c r="CE98" s="314" t="n">
        <f aca="false">IFERROR((CE97-CE96)/(Model!CD199-(Model!CD196)),0)</f>
        <v>0</v>
      </c>
      <c r="CF98" s="314" t="n">
        <f aca="false">IFERROR((CF97-CF96)/(Model!CE199-(Model!CE196)),0)</f>
        <v>0</v>
      </c>
      <c r="CG98" s="314" t="n">
        <f aca="false">IFERROR((CG97-CG96)/(Model!CF199-(Model!CF196)),0)</f>
        <v>0</v>
      </c>
      <c r="CH98" s="314" t="n">
        <f aca="false">IFERROR((CH97-CH96)/(Model!CG199-(Model!CG196)),0)</f>
        <v>0</v>
      </c>
      <c r="CI98" s="314" t="n">
        <f aca="false">IFERROR((CI97-CI96)/(Model!CH199-(Model!CH196)),0)</f>
        <v>0</v>
      </c>
      <c r="CJ98" s="314" t="n">
        <f aca="false">IFERROR((CJ97-CJ96)/(Model!CI199-(Model!CI196)),0)</f>
        <v>0</v>
      </c>
      <c r="CK98" s="314" t="n">
        <f aca="false">IFERROR((CK97-CK96)/(Model!CJ199-(Model!CJ196)),0)</f>
        <v>0</v>
      </c>
      <c r="CL98" s="314" t="n">
        <f aca="false">IFERROR((CL97-CL96)/(Model!CK199-(Model!CK196)),0)</f>
        <v>0</v>
      </c>
      <c r="CM98" s="314" t="n">
        <f aca="false">IFERROR((CM97-CM96)/(Model!CL199-(Model!CL196)),0)</f>
        <v>0</v>
      </c>
      <c r="CN98" s="314" t="n">
        <f aca="false">IFERROR((CN97-CN96)/(Model!CM199-(Model!CM196)),0)</f>
        <v>0</v>
      </c>
      <c r="CO98" s="314" t="n">
        <f aca="false">IFERROR((CO97-CO96)/(Model!CN199-(Model!CN196)),0)</f>
        <v>0</v>
      </c>
      <c r="CP98" s="314" t="n">
        <f aca="false">IFERROR((CP97-CP96)/(Model!CO199-(Model!CO196)),0)</f>
        <v>0</v>
      </c>
      <c r="CQ98" s="314" t="n">
        <f aca="false">IFERROR((CQ97-CQ96)/(Model!CP199-(Model!CP196)),0)</f>
        <v>0</v>
      </c>
      <c r="CR98" s="314" t="n">
        <f aca="false">IFERROR((CR97-CR96)/(Model!CQ199-(Model!CQ196)),0)</f>
        <v>0</v>
      </c>
      <c r="CS98" s="314" t="n">
        <f aca="false">IFERROR((CS97-CS96)/(Model!CR199-(Model!CR196)),0)</f>
        <v>0</v>
      </c>
      <c r="CT98" s="314" t="n">
        <f aca="false">IFERROR((CT97-CT96)/(Model!CS199-(Model!CS196)),0)</f>
        <v>0</v>
      </c>
      <c r="CU98" s="314" t="n">
        <f aca="false">IFERROR((CU97-CU96)/(Model!CT199-(Model!CT196)),0)</f>
        <v>0</v>
      </c>
      <c r="CV98" s="314" t="n">
        <f aca="false">IFERROR((CV97-CV96)/(Model!CU199-(Model!CU196)),0)</f>
        <v>0</v>
      </c>
      <c r="CW98" s="314" t="n">
        <f aca="false">IFERROR((CW97-CW96)/(Model!CV199-(Model!CV196)),0)</f>
        <v>0</v>
      </c>
      <c r="CX98" s="314" t="n">
        <f aca="false">IFERROR((CX97-CX96)/(Model!CW199-(Model!CW196)),0)</f>
        <v>0</v>
      </c>
      <c r="CY98" s="314" t="n">
        <f aca="false">IFERROR((CY97-CY96)/(Model!CX199-(Model!CX196)),0)</f>
        <v>0</v>
      </c>
      <c r="CZ98" s="314" t="n">
        <f aca="false">IFERROR((CZ97-CZ96)/(Model!CY199-(Model!CY196)),0)</f>
        <v>0</v>
      </c>
      <c r="DA98" s="314" t="n">
        <f aca="false">IFERROR((DA97-DA96)/(Model!CZ199-(Model!CZ196)),0)</f>
        <v>0</v>
      </c>
      <c r="DB98" s="314" t="n">
        <f aca="false">IFERROR((DB97-DB96)/(Model!DA199-(Model!DA196)),0)</f>
        <v>0</v>
      </c>
      <c r="DC98" s="314" t="n">
        <f aca="false">IFERROR((DC97-DC96)/(Model!DB199-(Model!DB196)),0)</f>
        <v>0</v>
      </c>
      <c r="DD98" s="314" t="n">
        <f aca="false">IFERROR((DD97-DD96)/(Model!DC199-(Model!DC196)),0)</f>
        <v>0</v>
      </c>
      <c r="DE98" s="314" t="n">
        <f aca="false">IFERROR((DE97-DE96)/(Model!DD199-(Model!DD196)),0)</f>
        <v>0</v>
      </c>
      <c r="DF98" s="314" t="n">
        <f aca="false">IFERROR((DF97-DF96)/(Model!DE199-(Model!DE196)),0)</f>
        <v>0</v>
      </c>
    </row>
    <row r="99" customFormat="false" ht="15" hidden="false" customHeight="true" outlineLevel="0" collapsed="false">
      <c r="A99" s="72" t="s">
        <v>1179</v>
      </c>
      <c r="B99" s="312" t="n">
        <f aca="false">SUM(Actuals!C17:N17)</f>
        <v>4643571.59</v>
      </c>
      <c r="C99" s="313" t="n">
        <f aca="false">Model!B199+SUM(Model!B203:B233)+Model!B235-(Model!B196)</f>
        <v>-41844.6399999999</v>
      </c>
      <c r="D99" s="313" t="n">
        <f aca="false">Model!C199+SUM(Model!C203:C233)+Model!C235-(Model!C196)</f>
        <v>-311309.31</v>
      </c>
      <c r="E99" s="313" t="n">
        <f aca="false">Model!D199+SUM(Model!D203:D233)+Model!D235-(Model!D196)</f>
        <v>242246.78</v>
      </c>
      <c r="F99" s="313" t="n">
        <f aca="false">Model!E199+SUM(Model!E203:E233)+Model!E235-(Model!E196)</f>
        <v>373926.69</v>
      </c>
      <c r="G99" s="313" t="n">
        <f aca="false">Model!F199+SUM(Model!F203:F233)+Model!F235-(Model!F196)</f>
        <v>27621.8500000002</v>
      </c>
      <c r="H99" s="313" t="n">
        <f aca="false">Model!G199+SUM(Model!G203:G233)+Model!G235-(Model!G196)</f>
        <v>318509.92</v>
      </c>
      <c r="I99" s="313" t="n">
        <f aca="false">Model!H199+SUM(Model!H203:H233)+Model!H235-(Model!H196)</f>
        <v>1446747.85</v>
      </c>
      <c r="J99" s="313" t="n">
        <f aca="false">Model!I199+SUM(Model!I203:I233)+Model!I235-(Model!I196)</f>
        <v>177182.13</v>
      </c>
      <c r="K99" s="313" t="n">
        <f aca="false">Model!J199+SUM(Model!J203:J233)+Model!J235-(Model!J196)</f>
        <v>298241.093396964</v>
      </c>
      <c r="L99" s="313" t="n">
        <f aca="false">Model!K199+SUM(Model!K203:K233)+Model!K235-(Model!K196)</f>
        <v>376129.454718767</v>
      </c>
      <c r="M99" s="313" t="n">
        <f aca="false">Model!L199+SUM(Model!L203:L233)+Model!L235-(Model!L196)</f>
        <v>214936.69311604</v>
      </c>
      <c r="N99" s="313" t="n">
        <f aca="false">Model!M199+SUM(Model!M203:M233)+Model!M235-(Model!M196)</f>
        <v>115063.696620279</v>
      </c>
      <c r="O99" s="313" t="n">
        <f aca="false">Model!N199+SUM(Model!N203:N233)+Model!N235-(Model!N196)</f>
        <v>428723.753005433</v>
      </c>
      <c r="P99" s="313" t="n">
        <f aca="false">Model!O199+SUM(Model!O203:O233)+Model!O235-(Model!O196)</f>
        <v>262757.146153049</v>
      </c>
      <c r="Q99" s="313" t="n">
        <f aca="false">Model!P199+SUM(Model!P203:P233)+Model!P235-(Model!P196)</f>
        <v>365330.63615305</v>
      </c>
      <c r="R99" s="313" t="n">
        <f aca="false">Model!Q199+SUM(Model!Q203:Q233)+Model!Q235-(Model!Q196)</f>
        <v>301830.579119715</v>
      </c>
      <c r="S99" s="313" t="n">
        <f aca="false">Model!R199+SUM(Model!R203:R233)+Model!R235-(Model!R196)</f>
        <v>245912.539119715</v>
      </c>
      <c r="T99" s="313" t="n">
        <f aca="false">Model!S199+SUM(Model!S203:S233)+Model!S235-(Model!S196)</f>
        <v>231693.479119715</v>
      </c>
      <c r="U99" s="313" t="n">
        <f aca="false">Model!T199+SUM(Model!T203:T233)+Model!T235-(Model!T196)</f>
        <v>308671.759119715</v>
      </c>
      <c r="V99" s="313" t="n">
        <f aca="false">Model!U199+SUM(Model!U203:U233)+Model!U235-(Model!U196)</f>
        <v>202942.469119716</v>
      </c>
      <c r="W99" s="313" t="n">
        <f aca="false">Model!V199+SUM(Model!V203:V233)+Model!V235-(Model!V196)</f>
        <v>285193.905273559</v>
      </c>
      <c r="X99" s="313" t="n">
        <f aca="false">Model!W199+SUM(Model!W203:W233)+Model!W235-(Model!W196)</f>
        <v>187353.759119716</v>
      </c>
      <c r="Y99" s="313" t="n">
        <f aca="false">Model!X199+SUM(Model!X203:X233)+Model!X235-(Model!X196)</f>
        <v>361969.299119715</v>
      </c>
      <c r="Z99" s="313" t="n">
        <f aca="false">Model!Y199+SUM(Model!Y203:Y233)+Model!Y235-(Model!Y196)</f>
        <v>201840.632965869</v>
      </c>
      <c r="AA99" s="313" t="n">
        <f aca="false">Model!Z199+SUM(Model!Z203:Z233)+Model!Z235-(Model!Z196)</f>
        <v>342807.457196638</v>
      </c>
      <c r="AB99" s="313" t="n">
        <f aca="false">Model!AA199+SUM(Model!AA203:AA233)+Model!AA235-(Model!AA196)</f>
        <v>403969.187480855</v>
      </c>
      <c r="AC99" s="313" t="n">
        <f aca="false">Model!AB199+SUM(Model!AB203:AB233)+Model!AB235-(Model!AB196)</f>
        <v>220901.77307266</v>
      </c>
      <c r="AD99" s="313" t="n">
        <f aca="false">Model!AC199+SUM(Model!AC203:AC233)+Model!AC235-(Model!AC196)</f>
        <v>2534.10663972087</v>
      </c>
      <c r="AE99" s="313" t="n">
        <f aca="false">Model!AD199+SUM(Model!AD203:AD233)+Model!AD235-(Model!AD196)</f>
        <v>47407.093562798</v>
      </c>
      <c r="AF99" s="313" t="n">
        <f aca="false">Model!AE199+SUM(Model!AE203:AE233)+Model!AE235-(Model!AE196)</f>
        <v>38339.1035627977</v>
      </c>
      <c r="AG99" s="313" t="n">
        <f aca="false">Model!AF199+SUM(Model!AF203:AF233)+Model!AF235-(Model!AF196)</f>
        <v>207958.91767751</v>
      </c>
      <c r="AH99" s="313" t="n">
        <f aca="false">Model!AG199+SUM(Model!AG203:AG233)+Model!AG235-(Model!AG196)</f>
        <v>118056.005929035</v>
      </c>
      <c r="AI99" s="313" t="n">
        <f aca="false">Model!AH199+SUM(Model!AH203:AH233)+Model!AH235-(Model!AH196)</f>
        <v>-18637.3170328645</v>
      </c>
      <c r="AJ99" s="313" t="n">
        <f aca="false">Model!AI199+SUM(Model!AI203:AI233)+Model!AI235-(Model!AI196)</f>
        <v>-24804.1870328646</v>
      </c>
      <c r="AK99" s="313" t="n">
        <f aca="false">Model!AJ199+SUM(Model!AJ203:AJ233)+Model!AJ235-(Model!AJ196)</f>
        <v>-19433.0874651146</v>
      </c>
      <c r="AL99" s="313" t="n">
        <f aca="false">Model!AK199+SUM(Model!AK203:AK233)+Model!AK235-(Model!AK196)</f>
        <v>-273767.506274</v>
      </c>
      <c r="AM99" s="313" t="n">
        <f aca="false">Model!AL199+SUM(Model!AL203:AL233)+Model!AL235-(Model!AL196)</f>
        <v>-259457.436274</v>
      </c>
      <c r="AN99" s="313" t="n">
        <f aca="false">Model!AM199+SUM(Model!AM203:AM233)+Model!AM235-(Model!AM196)</f>
        <v>-247575.656274</v>
      </c>
      <c r="AO99" s="313" t="n">
        <f aca="false">Model!AN199+SUM(Model!AN203:AN233)+Model!AN235-(Model!AN196)</f>
        <v>-356057.706274</v>
      </c>
      <c r="AP99" s="313" t="n">
        <f aca="false">Model!AO199+SUM(Model!AO203:AO233)+Model!AO235-(Model!AO196)</f>
        <v>-403906.04259948</v>
      </c>
      <c r="AQ99" s="313" t="n">
        <f aca="false">Model!AP199+SUM(Model!AP203:AP233)+Model!AP235-(Model!AP196)</f>
        <v>-403906.04259948</v>
      </c>
      <c r="AR99" s="313" t="n">
        <f aca="false">Model!AQ199+SUM(Model!AQ203:AQ233)+Model!AQ235-(Model!AQ196)</f>
        <v>-403906.04259948</v>
      </c>
      <c r="AS99" s="313" t="n">
        <f aca="false">Model!AR199+SUM(Model!AR203:AR233)+Model!AR235-(Model!AR196)</f>
        <v>-403906.04259948</v>
      </c>
      <c r="AT99" s="313" t="n">
        <f aca="false">Model!AS199+SUM(Model!AS203:AS233)+Model!AS235-(Model!AS196)</f>
        <v>-403906.04259948</v>
      </c>
      <c r="AU99" s="313" t="n">
        <f aca="false">Model!AT199+SUM(Model!AT203:AT233)+Model!AT235-(Model!AT196)</f>
        <v>-403906.04259948</v>
      </c>
      <c r="AV99" s="313" t="n">
        <f aca="false">Model!AU199+SUM(Model!AU203:AU233)+Model!AU235-(Model!AU196)</f>
        <v>-403906.04259948</v>
      </c>
      <c r="AW99" s="313" t="n">
        <f aca="false">Model!AV199+SUM(Model!AV203:AV233)+Model!AV235-(Model!AV196)</f>
        <v>-403906.04259948</v>
      </c>
      <c r="AX99" s="313" t="n">
        <f aca="false">Model!AW199+SUM(Model!AW203:AW233)+Model!AW235-(Model!AW196)</f>
        <v>-403906.04259948</v>
      </c>
      <c r="AY99" s="313" t="n">
        <f aca="false">Model!AX199+SUM(Model!AX203:AX233)+Model!AX235-(Model!AX196)</f>
        <v>-403906.04259948</v>
      </c>
      <c r="AZ99" s="313" t="n">
        <f aca="false">Model!AY199+SUM(Model!AY203:AY233)+Model!AY235-(Model!AY196)</f>
        <v>-403906.04259948</v>
      </c>
      <c r="BA99" s="313" t="n">
        <f aca="false">Model!AZ199+SUM(Model!AZ203:AZ233)+Model!AZ235-(Model!AZ196)</f>
        <v>-403906.04259948</v>
      </c>
      <c r="BB99" s="313" t="n">
        <f aca="false">Model!BA199+SUM(Model!BA203:BA233)+Model!BA235-(Model!BA196)</f>
        <v>-411984.16345147</v>
      </c>
      <c r="BC99" s="313" t="n">
        <f aca="false">Model!BB199+SUM(Model!BB203:BB233)+Model!BB235-(Model!BB196)</f>
        <v>-411984.16345147</v>
      </c>
      <c r="BD99" s="313" t="n">
        <f aca="false">Model!BC199+SUM(Model!BC203:BC233)+Model!BC235-(Model!BC196)</f>
        <v>-411984.16345147</v>
      </c>
      <c r="BE99" s="313" t="n">
        <f aca="false">Model!BD199+SUM(Model!BD203:BD233)+Model!BD235-(Model!BD196)</f>
        <v>-411984.16345147</v>
      </c>
      <c r="BF99" s="313" t="n">
        <f aca="false">Model!BE199+SUM(Model!BE203:BE233)+Model!BE235-(Model!BE196)</f>
        <v>-411984.16345147</v>
      </c>
      <c r="BG99" s="313" t="n">
        <f aca="false">Model!BF199+SUM(Model!BF203:BF233)+Model!BF235-(Model!BF196)</f>
        <v>-411984.16345147</v>
      </c>
      <c r="BH99" s="313" t="n">
        <f aca="false">Model!BG199+SUM(Model!BG203:BG233)+Model!BG235-(Model!BG196)</f>
        <v>-411984.16345147</v>
      </c>
      <c r="BI99" s="313" t="n">
        <f aca="false">Model!BH199+SUM(Model!BH203:BH233)+Model!BH235-(Model!BH196)</f>
        <v>-411984.16345147</v>
      </c>
      <c r="BJ99" s="313" t="n">
        <f aca="false">Model!BI199+SUM(Model!BI203:BI233)+Model!BI235-(Model!BI196)</f>
        <v>-411984.16345147</v>
      </c>
      <c r="BK99" s="313" t="n">
        <f aca="false">Model!BJ199+SUM(Model!BJ203:BJ233)+Model!BJ235-(Model!BJ196)</f>
        <v>-411984.16345147</v>
      </c>
      <c r="BL99" s="313" t="n">
        <f aca="false">Model!BK199+SUM(Model!BK203:BK233)+Model!BK235-(Model!BK196)</f>
        <v>-411984.16345147</v>
      </c>
      <c r="BM99" s="313" t="n">
        <f aca="false">Model!BL199+SUM(Model!BL203:BL233)+Model!BL235-(Model!BL196)</f>
        <v>-411984.16345147</v>
      </c>
      <c r="BN99" s="313" t="n">
        <f aca="false">Model!BM199+SUM(Model!BM203:BM233)+Model!BM235-(Model!BM196)</f>
        <v>-420223.846720499</v>
      </c>
      <c r="BO99" s="313" t="n">
        <f aca="false">Model!BN199+SUM(Model!BN203:BN233)+Model!BN235-(Model!BN196)</f>
        <v>-420223.846720499</v>
      </c>
      <c r="BP99" s="313" t="n">
        <f aca="false">Model!BO199+SUM(Model!BO203:BO233)+Model!BO235-(Model!BO196)</f>
        <v>-420223.846720499</v>
      </c>
      <c r="BQ99" s="313" t="n">
        <f aca="false">Model!BP199+SUM(Model!BP203:BP233)+Model!BP235-(Model!BP196)</f>
        <v>-420223.846720499</v>
      </c>
      <c r="BR99" s="313" t="n">
        <f aca="false">Model!BQ199+SUM(Model!BQ203:BQ233)+Model!BQ235-(Model!BQ196)</f>
        <v>-420223.846720499</v>
      </c>
      <c r="BS99" s="313" t="n">
        <f aca="false">Model!BR199+SUM(Model!BR203:BR233)+Model!BR235-(Model!BR196)</f>
        <v>-420223.846720499</v>
      </c>
      <c r="BT99" s="313" t="n">
        <f aca="false">Model!BS199+SUM(Model!BS203:BS233)+Model!BS235-(Model!BS196)</f>
        <v>-420223.846720499</v>
      </c>
      <c r="BU99" s="313" t="n">
        <f aca="false">Model!BT199+SUM(Model!BT203:BT233)+Model!BT235-(Model!BT196)</f>
        <v>-420223.846720499</v>
      </c>
      <c r="BV99" s="313" t="n">
        <f aca="false">Model!BU199+SUM(Model!BU203:BU233)+Model!BU235-(Model!BU196)</f>
        <v>-420223.846720499</v>
      </c>
      <c r="BW99" s="313" t="n">
        <f aca="false">Model!BV199+SUM(Model!BV203:BV233)+Model!BV235-(Model!BV196)</f>
        <v>-420223.846720499</v>
      </c>
      <c r="BX99" s="313" t="n">
        <f aca="false">Model!BW199+SUM(Model!BW203:BW233)+Model!BW235-(Model!BW196)</f>
        <v>-420223.846720499</v>
      </c>
      <c r="BY99" s="313" t="n">
        <f aca="false">Model!BX199+SUM(Model!BX203:BX233)+Model!BX235-(Model!BX196)</f>
        <v>-420223.846720499</v>
      </c>
      <c r="BZ99" s="313" t="n">
        <f aca="false">Model!BY199+SUM(Model!BY203:BY233)+Model!BY235-(Model!BY196)</f>
        <v>-428628.323654909</v>
      </c>
      <c r="CA99" s="313" t="n">
        <f aca="false">Model!BZ199+SUM(Model!BZ203:BZ233)+Model!BZ235-(Model!BZ196)</f>
        <v>-428628.323654909</v>
      </c>
      <c r="CB99" s="313" t="n">
        <f aca="false">Model!CA199+SUM(Model!CA203:CA233)+Model!CA235-(Model!CA196)</f>
        <v>-428628.323654909</v>
      </c>
      <c r="CC99" s="313" t="n">
        <f aca="false">Model!CB199+SUM(Model!CB203:CB233)+Model!CB235-(Model!CB196)</f>
        <v>-428628.323654909</v>
      </c>
      <c r="CD99" s="313" t="n">
        <f aca="false">Model!CC199+SUM(Model!CC203:CC233)+Model!CC235-(Model!CC196)</f>
        <v>-428628.323654909</v>
      </c>
      <c r="CE99" s="313" t="n">
        <f aca="false">Model!CD199+SUM(Model!CD203:CD233)+Model!CD235-(Model!CD196)</f>
        <v>-428628.323654909</v>
      </c>
      <c r="CF99" s="313" t="n">
        <f aca="false">Model!CE199+SUM(Model!CE203:CE233)+Model!CE235-(Model!CE196)</f>
        <v>-428628.323654909</v>
      </c>
      <c r="CG99" s="313" t="n">
        <f aca="false">Model!CF199+SUM(Model!CF203:CF233)+Model!CF235-(Model!CF196)</f>
        <v>-428628.323654909</v>
      </c>
      <c r="CH99" s="313" t="n">
        <f aca="false">Model!CG199+SUM(Model!CG203:CG233)+Model!CG235-(Model!CG196)</f>
        <v>-428628.323654909</v>
      </c>
      <c r="CI99" s="313" t="n">
        <f aca="false">Model!CH199+SUM(Model!CH203:CH233)+Model!CH235-(Model!CH196)</f>
        <v>-428628.323654909</v>
      </c>
      <c r="CJ99" s="313" t="n">
        <f aca="false">Model!CI199+SUM(Model!CI203:CI233)+Model!CI235-(Model!CI196)</f>
        <v>-428628.323654909</v>
      </c>
      <c r="CK99" s="313" t="n">
        <f aca="false">Model!CJ199+SUM(Model!CJ203:CJ233)+Model!CJ235-(Model!CJ196)</f>
        <v>-428628.323654909</v>
      </c>
      <c r="CL99" s="313" t="n">
        <f aca="false">Model!CK199+SUM(Model!CK203:CK233)+Model!CK235-(Model!CK196)</f>
        <v>-437200.890128007</v>
      </c>
      <c r="CM99" s="313" t="n">
        <f aca="false">Model!CL199+SUM(Model!CL203:CL233)+Model!CL235-(Model!CL196)</f>
        <v>-437200.890128007</v>
      </c>
      <c r="CN99" s="313" t="n">
        <f aca="false">Model!CM199+SUM(Model!CM203:CM233)+Model!CM235-(Model!CM196)</f>
        <v>-437200.890128007</v>
      </c>
      <c r="CO99" s="313" t="n">
        <f aca="false">Model!CN199+SUM(Model!CN203:CN233)+Model!CN235-(Model!CN196)</f>
        <v>-437200.890128007</v>
      </c>
      <c r="CP99" s="313" t="n">
        <f aca="false">Model!CO199+SUM(Model!CO203:CO233)+Model!CO235-(Model!CO196)</f>
        <v>-437200.890128007</v>
      </c>
      <c r="CQ99" s="313" t="n">
        <f aca="false">Model!CP199+SUM(Model!CP203:CP233)+Model!CP235-(Model!CP196)</f>
        <v>-437200.890128007</v>
      </c>
      <c r="CR99" s="313" t="n">
        <f aca="false">Model!CQ199+SUM(Model!CQ203:CQ233)+Model!CQ235-(Model!CQ196)</f>
        <v>-437200.890128007</v>
      </c>
      <c r="CS99" s="313" t="n">
        <f aca="false">Model!CR199+SUM(Model!CR203:CR233)+Model!CR235-(Model!CR196)</f>
        <v>-437200.890128007</v>
      </c>
      <c r="CT99" s="313" t="n">
        <f aca="false">Model!CS199+SUM(Model!CS203:CS233)+Model!CS235-(Model!CS196)</f>
        <v>-437200.890128007</v>
      </c>
      <c r="CU99" s="313" t="n">
        <f aca="false">Model!CT199+SUM(Model!CT203:CT233)+Model!CT235-(Model!CT196)</f>
        <v>-385420.730516558</v>
      </c>
      <c r="CV99" s="313" t="n">
        <f aca="false">Model!CU199+SUM(Model!CU203:CU233)+Model!CU235-(Model!CU196)</f>
        <v>-385420.730516558</v>
      </c>
      <c r="CW99" s="313" t="n">
        <f aca="false">Model!CV199+SUM(Model!CV203:CV233)+Model!CV235-(Model!CV196)</f>
        <v>-385420.730516558</v>
      </c>
      <c r="CX99" s="313" t="n">
        <f aca="false">Model!CW199+SUM(Model!CW203:CW233)+Model!CW235-(Model!CW196)</f>
        <v>-393129.145126889</v>
      </c>
      <c r="CY99" s="313" t="n">
        <f aca="false">Model!CX199+SUM(Model!CX203:CX233)+Model!CX235-(Model!CX196)</f>
        <v>-393129.145126889</v>
      </c>
      <c r="CZ99" s="313" t="n">
        <f aca="false">Model!CY199+SUM(Model!CY203:CY233)+Model!CY235-(Model!CY196)</f>
        <v>-393129.145126889</v>
      </c>
      <c r="DA99" s="313" t="n">
        <f aca="false">Model!CZ199+SUM(Model!CZ203:CZ233)+Model!CZ235-(Model!CZ196)</f>
        <v>-393129.145126889</v>
      </c>
      <c r="DB99" s="313" t="n">
        <f aca="false">Model!DA199+SUM(Model!DA203:DA233)+Model!DA235-(Model!DA196)</f>
        <v>-393129.145126889</v>
      </c>
      <c r="DC99" s="313" t="n">
        <f aca="false">Model!DB199+SUM(Model!DB203:DB233)+Model!DB235-(Model!DB196)</f>
        <v>-393129.145126889</v>
      </c>
      <c r="DD99" s="313" t="n">
        <f aca="false">Model!DC199+SUM(Model!DC203:DC233)+Model!DC235-(Model!DC196)</f>
        <v>-393129.145126889</v>
      </c>
      <c r="DE99" s="313" t="n">
        <f aca="false">Model!DD199+SUM(Model!DD203:DD233)+Model!DD235-(Model!DD196)</f>
        <v>-393129.145126889</v>
      </c>
      <c r="DF99" s="313" t="n">
        <f aca="false">Model!DE199+SUM(Model!DE203:DE233)+Model!DE235-(Model!DE196)</f>
        <v>-393129.145126889</v>
      </c>
    </row>
    <row r="100" customFormat="false" ht="15" hidden="false" customHeight="true" outlineLevel="0" collapsed="false">
      <c r="A100" s="72" t="s">
        <v>1180</v>
      </c>
      <c r="B100" s="312"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34537.7089860358</v>
      </c>
      <c r="S100" s="127" t="n">
        <f aca="false">S98*S99</f>
        <v>30256.5018595383</v>
      </c>
      <c r="T100" s="127" t="n">
        <f aca="false">T98*T99</f>
        <v>29063.1097338633</v>
      </c>
      <c r="U100" s="127" t="n">
        <f aca="false">U98*U99</f>
        <v>35020.6956588963</v>
      </c>
      <c r="V100" s="127" t="n">
        <f aca="false">V98*V99</f>
        <v>26501.9738185096</v>
      </c>
      <c r="W100" s="127" t="n">
        <f aca="false">W98*W99</f>
        <v>33485.0817835133</v>
      </c>
      <c r="X100" s="127" t="n">
        <f aca="false">X98*X99</f>
        <v>25680.5621341143</v>
      </c>
      <c r="Y100" s="127" t="n">
        <f aca="false">Y98*Y99</f>
        <v>39321.8731670128</v>
      </c>
      <c r="Z100" s="127" t="n">
        <f aca="false">Z98*Z99</f>
        <v>27143.2085531982</v>
      </c>
      <c r="AA100" s="127" t="n">
        <f aca="false">AA98*AA99</f>
        <v>38876.0205819731</v>
      </c>
      <c r="AB100" s="127" t="n">
        <f aca="false">AB98*AB99</f>
        <v>44208.8463430254</v>
      </c>
      <c r="AC100" s="127" t="n">
        <f aca="false">AC98*AC99</f>
        <v>31113.5240822469</v>
      </c>
      <c r="AD100" s="127" t="n">
        <f aca="false">AD98*AD99</f>
        <v>551.09313220109</v>
      </c>
      <c r="AE100" s="127" t="n">
        <f aca="false">AE98*AE99</f>
        <v>9776.01481501984</v>
      </c>
      <c r="AF100" s="127" t="n">
        <f aca="false">AF98*AF99</f>
        <v>8071.1321940044</v>
      </c>
      <c r="AG100" s="127" t="n">
        <f aca="false">AG98*AG99</f>
        <v>62967.6869625874</v>
      </c>
      <c r="AH100" s="127" t="n">
        <f aca="false">AH98*AH99</f>
        <v>0</v>
      </c>
      <c r="AI100" s="127" t="n">
        <f aca="false">AI98*AI99</f>
        <v>-0</v>
      </c>
      <c r="AJ100" s="127" t="n">
        <f aca="false">AJ98*AJ99</f>
        <v>-0</v>
      </c>
      <c r="AK100" s="127" t="n">
        <f aca="false">AK98*AK99</f>
        <v>-0</v>
      </c>
      <c r="AL100" s="127" t="n">
        <f aca="false">AL98*AL99</f>
        <v>-0</v>
      </c>
      <c r="AM100" s="127" t="n">
        <f aca="false">AM98*AM99</f>
        <v>-0</v>
      </c>
      <c r="AN100" s="127" t="n">
        <f aca="false">AN98*AN99</f>
        <v>-0</v>
      </c>
      <c r="AO100" s="127" t="n">
        <f aca="false">AO98*AO99</f>
        <v>-0</v>
      </c>
      <c r="AP100" s="127" t="n">
        <f aca="false">AP98*AP99</f>
        <v>-0</v>
      </c>
      <c r="AQ100" s="127" t="n">
        <f aca="false">AQ98*AQ99</f>
        <v>-0</v>
      </c>
      <c r="AR100" s="127" t="n">
        <f aca="false">AR98*AR99</f>
        <v>-0</v>
      </c>
      <c r="AS100" s="127" t="n">
        <f aca="false">AS98*AS99</f>
        <v>-0</v>
      </c>
      <c r="AT100" s="127" t="n">
        <f aca="false">AT98*AT99</f>
        <v>-0</v>
      </c>
      <c r="AU100" s="127" t="n">
        <f aca="false">AU98*AU99</f>
        <v>-0</v>
      </c>
      <c r="AV100" s="127" t="n">
        <f aca="false">AV98*AV99</f>
        <v>-0</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1181</v>
      </c>
      <c r="C101" s="315"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5"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5"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5"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5"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5"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5"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5"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5"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5"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5"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5"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5"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5"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5"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5"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704975.480105</v>
      </c>
      <c r="S101" s="315"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808355.2766575</v>
      </c>
      <c r="T101" s="315"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904109.9398175</v>
      </c>
      <c r="U101" s="315"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986361.12969875</v>
      </c>
      <c r="V101" s="315"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1049655.81266</v>
      </c>
      <c r="W101" s="315"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1089573.841655</v>
      </c>
      <c r="X101" s="315"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1103214.0205125</v>
      </c>
      <c r="Y101" s="315"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1089573.841655</v>
      </c>
      <c r="Z101" s="315"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1049655.81266</v>
      </c>
      <c r="AA101" s="315"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986361.12969875</v>
      </c>
      <c r="AB101" s="315"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904109.9398175</v>
      </c>
      <c r="AC101" s="315"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808355.2766575</v>
      </c>
      <c r="AD101" s="315"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704975.480105</v>
      </c>
      <c r="AE101" s="315"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599712.1844675</v>
      </c>
      <c r="AF101" s="315"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497623.49615875</v>
      </c>
      <c r="AG101" s="315"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402780.20352375</v>
      </c>
      <c r="AH101" s="315"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0</v>
      </c>
      <c r="AI101" s="315"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0</v>
      </c>
      <c r="AJ101" s="315"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0</v>
      </c>
      <c r="AK101" s="315"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0</v>
      </c>
      <c r="AL101" s="315"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0</v>
      </c>
      <c r="AM101" s="315"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0</v>
      </c>
      <c r="AN101" s="315"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0</v>
      </c>
      <c r="AO101" s="315"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0</v>
      </c>
      <c r="AP101" s="315"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0</v>
      </c>
      <c r="AQ101" s="315"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5"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5"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5"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5"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5"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5"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5"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5"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5"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5"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5"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5"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5"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5"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5"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5"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5"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5"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5"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5"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5"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5"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5"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5"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5"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5"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5"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5"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5"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5"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5"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5"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5"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5"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5"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5"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5"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5"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5"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5"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5"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5"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5"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5"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5"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5"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5"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5"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5"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5"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5"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5"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5"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5"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5"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5"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5"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5"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5"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5"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5"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5"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5"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5"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5"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5"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5"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1182</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6"/>
      <c r="BP2" s="316"/>
      <c r="BQ2" s="316"/>
      <c r="BR2" s="316"/>
      <c r="BS2" s="316"/>
      <c r="BT2" s="316"/>
      <c r="BU2" s="316"/>
      <c r="BV2" s="316"/>
      <c r="BW2" s="316"/>
      <c r="BX2" s="316"/>
      <c r="BY2" s="316"/>
      <c r="BZ2" s="316"/>
      <c r="CA2" s="316"/>
      <c r="CB2" s="316"/>
      <c r="CC2" s="316"/>
      <c r="CD2" s="316"/>
      <c r="CE2" s="316"/>
      <c r="CF2" s="316"/>
      <c r="CG2" s="316"/>
      <c r="CH2" s="316"/>
    </row>
    <row r="3" customFormat="false" ht="15" hidden="false" customHeight="true" outlineLevel="0" collapsed="false">
      <c r="A3" s="317"/>
      <c r="B3" s="318" t="s">
        <v>1183</v>
      </c>
      <c r="C3" s="318" t="s">
        <v>1184</v>
      </c>
      <c r="D3" s="318" t="s">
        <v>1185</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19" t="s">
        <v>12</v>
      </c>
      <c r="B5" s="320"/>
      <c r="C5" s="320"/>
      <c r="D5" s="3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1" t="s">
        <v>1186</v>
      </c>
      <c r="B6" s="322" t="n">
        <f aca="false">SUM(Model!E254:CG254)</f>
        <v>1114996</v>
      </c>
      <c r="C6" s="322" t="n">
        <f aca="false">Helpers!B47</f>
        <v>1912475</v>
      </c>
      <c r="D6" s="322"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1187</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1" t="s">
        <v>1188</v>
      </c>
      <c r="B8" s="322" t="n">
        <f aca="false">-Assumptions!$B$53*Assumptions!$B$48</f>
        <v>-150000</v>
      </c>
      <c r="C8" s="322" t="n">
        <v>0</v>
      </c>
      <c r="D8" s="322"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1171</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1189</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3"/>
      <c r="B11" s="324"/>
      <c r="C11" s="324"/>
      <c r="D11" s="324"/>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2" t="s">
        <v>1190</v>
      </c>
      <c r="B12" s="292"/>
      <c r="C12" s="325"/>
      <c r="D12" s="325"/>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1" t="s">
        <v>1186</v>
      </c>
      <c r="B13" s="322" t="n">
        <f aca="false">SUM(Model!E256:CG256)</f>
        <v>0</v>
      </c>
      <c r="C13" s="322" t="e">
        <f aca="false">Helpers!B48</f>
        <v>#N/A</v>
      </c>
      <c r="D13" s="322" t="e">
        <f aca="false">B13+C13</f>
        <v>#N/A</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6" t="s">
        <v>1187</v>
      </c>
      <c r="B14" s="327" t="n">
        <f aca="false">-Projects!$B$14*Assumptions!$B$47</f>
        <v>-413546.32</v>
      </c>
      <c r="C14" s="327" t="n">
        <v>0</v>
      </c>
      <c r="D14" s="327"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1" t="s">
        <v>1188</v>
      </c>
      <c r="B15" s="322" t="n">
        <f aca="false">-Assumptions!$B$55*Assumptions!$B$48</f>
        <v>-150000</v>
      </c>
      <c r="C15" s="322" t="n">
        <v>0</v>
      </c>
      <c r="D15" s="322"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6" t="s">
        <v>1171</v>
      </c>
      <c r="B16" s="327" t="n">
        <f aca="false">-SUM(Model!E331:CG331)</f>
        <v>-0</v>
      </c>
      <c r="C16" s="327" t="e">
        <f aca="false">-Helpers!F93</f>
        <v>#N/A</v>
      </c>
      <c r="D16" s="327" t="e">
        <f aca="false">B16+C16</f>
        <v>#N/A</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1189</v>
      </c>
      <c r="B17" s="221" t="n">
        <f aca="false">SUM(B13:B16)</f>
        <v>-563546.32</v>
      </c>
      <c r="C17" s="221" t="e">
        <f aca="false">SUM(C13:C16)</f>
        <v>#N/A</v>
      </c>
      <c r="D17" s="221" t="e">
        <f aca="false">SUM(D13:D16)</f>
        <v>#N/A</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28"/>
      <c r="B18" s="329"/>
      <c r="C18" s="329"/>
      <c r="D18" s="329"/>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0" t="s">
        <v>18</v>
      </c>
      <c r="B19" s="331"/>
      <c r="C19" s="331"/>
      <c r="D19" s="331"/>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2" t="s">
        <v>1186</v>
      </c>
      <c r="B20" s="333" t="n">
        <f aca="false">SUM(Model!E255:CG255)</f>
        <v>0</v>
      </c>
      <c r="C20" s="333" t="e">
        <f aca="false">Helpers!B49</f>
        <v>#N/A</v>
      </c>
      <c r="D20" s="333" t="e">
        <f aca="false">B20+C20</f>
        <v>#N/A</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4" t="s">
        <v>1187</v>
      </c>
      <c r="B21" s="335" t="n">
        <f aca="false">-Projects!$B$13*Assumptions!$B$47</f>
        <v>-452667.7</v>
      </c>
      <c r="C21" s="335" t="n">
        <v>0</v>
      </c>
      <c r="D21" s="335"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2" t="s">
        <v>1188</v>
      </c>
      <c r="B22" s="333" t="n">
        <f aca="false">-Assumptions!$B$54*Assumptions!$B$48</f>
        <v>-150000</v>
      </c>
      <c r="C22" s="333" t="n">
        <v>0</v>
      </c>
      <c r="D22" s="333"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1171</v>
      </c>
      <c r="B23" s="220" t="n">
        <f aca="false">-SUM(Model!E336:CG336)</f>
        <v>-0</v>
      </c>
      <c r="C23" s="220" t="n">
        <v>0</v>
      </c>
      <c r="D23" s="220" t="n">
        <f aca="false">B23+C23</f>
        <v>0</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1189</v>
      </c>
      <c r="B24" s="235" t="n">
        <f aca="false">SUM(B20:B23)</f>
        <v>-602667.7</v>
      </c>
      <c r="C24" s="235" t="e">
        <f aca="false">SUM(C20:C23)</f>
        <v>#N/A</v>
      </c>
      <c r="D24" s="235" t="e">
        <f aca="false">SUM(D20:D23)</f>
        <v>#N/A</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0"/>
      <c r="B25" s="336"/>
      <c r="C25" s="336"/>
      <c r="D25" s="336"/>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7" t="s">
        <v>1191</v>
      </c>
      <c r="B26" s="338"/>
      <c r="C26" s="338"/>
      <c r="D26" s="338"/>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39" t="s">
        <v>1192</v>
      </c>
      <c r="B27" s="340" t="n">
        <f aca="false">B6+B13+B20</f>
        <v>1114996</v>
      </c>
      <c r="C27" s="340" t="e">
        <f aca="false">C6+C13+C20</f>
        <v>#N/A</v>
      </c>
      <c r="D27" s="340" t="e">
        <f aca="false">D6+D13+D20</f>
        <v>#N/A</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1193</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1" t="s">
        <v>1194</v>
      </c>
      <c r="B29" s="342" t="n">
        <f aca="false">B8+B15+B22</f>
        <v>-450000</v>
      </c>
      <c r="C29" s="342" t="n">
        <f aca="false">C8+C15+C22</f>
        <v>0</v>
      </c>
      <c r="D29" s="342"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3" t="s">
        <v>1195</v>
      </c>
      <c r="B30" s="344" t="n">
        <f aca="false">B9+B16+B23</f>
        <v>0</v>
      </c>
      <c r="C30" s="344" t="e">
        <f aca="false">C9+C16+C23</f>
        <v>#N/A</v>
      </c>
      <c r="D30" s="344" t="e">
        <f aca="false">D9+D16+D23</f>
        <v>#N/A</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1196</v>
      </c>
      <c r="B31" s="221" t="n">
        <f aca="false">B10+B17+B24</f>
        <v>-629165.67</v>
      </c>
      <c r="C31" s="221" t="e">
        <f aca="false">C10+C17+C24</f>
        <v>#N/A</v>
      </c>
      <c r="D31" s="221" t="e">
        <f aca="false">D10+D17+D24</f>
        <v>#N/A</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5"/>
      <c r="B32" s="346"/>
      <c r="C32" s="346"/>
      <c r="D32" s="346"/>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0"/>
      <c r="B33" s="336"/>
      <c r="C33" s="336"/>
      <c r="D33" s="336"/>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5"/>
      <c r="B34" s="346"/>
      <c r="C34" s="346"/>
      <c r="D34" s="346"/>
    </row>
    <row r="35" customFormat="false" ht="15" hidden="false" customHeight="true" outlineLevel="0" collapsed="false">
      <c r="A35" s="323"/>
      <c r="B35" s="324"/>
      <c r="C35" s="324"/>
      <c r="D35" s="324"/>
    </row>
    <row r="37" customFormat="false" ht="15" hidden="false" customHeight="true" outlineLevel="0" collapsed="false">
      <c r="A37" s="347"/>
    </row>
    <row r="38" customFormat="false" ht="15" hidden="false" customHeight="true" outlineLevel="0" collapsed="false">
      <c r="A38" s="348"/>
    </row>
    <row r="39" customFormat="false" ht="15" hidden="false" customHeight="true" outlineLevel="0" collapsed="false">
      <c r="A39" s="348"/>
    </row>
    <row r="40" customFormat="false" ht="15" hidden="false" customHeight="true" outlineLevel="0" collapsed="false">
      <c r="A40" s="348" t="s">
        <v>1197</v>
      </c>
    </row>
    <row r="41" customFormat="false" ht="15" hidden="false" customHeight="true" outlineLevel="0" collapsed="false">
      <c r="A41" s="348" t="s">
        <v>1198</v>
      </c>
    </row>
    <row r="42" customFormat="false" ht="15" hidden="false" customHeight="true" outlineLevel="0" collapsed="false">
      <c r="A42" s="348" t="s">
        <v>1199</v>
      </c>
    </row>
    <row r="43" customFormat="false" ht="15" hidden="false" customHeight="true" outlineLevel="0" collapsed="false">
      <c r="A43" s="348" t="s">
        <v>1200</v>
      </c>
    </row>
    <row r="44" customFormat="false" ht="15" hidden="false" customHeight="true" outlineLevel="0" collapsed="false">
      <c r="A44" s="348" t="s">
        <v>1201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1202</v>
      </c>
    </row>
    <row r="2" customFormat="false" ht="15" hidden="false" customHeight="true" outlineLevel="0" collapsed="false">
      <c r="A2" s="90" t="s">
        <v>1203</v>
      </c>
      <c r="B2" s="349" t="n">
        <v>0.0025</v>
      </c>
    </row>
    <row r="3" customFormat="false" ht="15" hidden="false" customHeight="true" outlineLevel="0" collapsed="false">
      <c r="A3" s="90" t="s">
        <v>1204</v>
      </c>
      <c r="B3" s="350" t="n">
        <v>0.1</v>
      </c>
    </row>
    <row r="4" customFormat="false" ht="15" hidden="false" customHeight="true" outlineLevel="0" collapsed="false"/>
    <row r="5" customFormat="false" ht="30" hidden="false" customHeight="true" outlineLevel="0" collapsed="false">
      <c r="A5" s="351" t="s">
        <v>1205</v>
      </c>
      <c r="B5" s="351" t="s">
        <v>1206</v>
      </c>
      <c r="C5" s="351" t="s">
        <v>1207</v>
      </c>
      <c r="D5" s="352" t="s">
        <v>1208</v>
      </c>
      <c r="E5" s="352" t="s">
        <v>1209</v>
      </c>
      <c r="F5" s="352" t="s">
        <v>1210</v>
      </c>
      <c r="G5" s="353" t="s">
        <v>536</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4"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10285591.0395713</v>
      </c>
      <c r="E7" s="104" t="n">
        <f aca="false">SUM(Helpers!O101:Z101)</f>
        <v>10285591.0395713</v>
      </c>
      <c r="F7" s="104" t="n">
        <f aca="false">D7-E7</f>
        <v>0</v>
      </c>
      <c r="G7" s="354"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4903917.71042875</v>
      </c>
      <c r="E8" s="104" t="n">
        <f aca="false">SUM(Helpers!AA101:AL101)</f>
        <v>4903917.71042875</v>
      </c>
      <c r="F8" s="104" t="n">
        <f aca="false">D8-E8</f>
        <v>0</v>
      </c>
      <c r="G8" s="354"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54"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4"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4"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4"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4"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4"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1211</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497225.8787</v>
      </c>
      <c r="S16" s="104" t="n">
        <f aca="false">-SUM(Model!R203:R233)-Model!R235</f>
        <v>497225.8787</v>
      </c>
      <c r="T16" s="104" t="n">
        <f aca="false">-SUM(Model!S203:S233)-Model!S235</f>
        <v>497225.8787</v>
      </c>
      <c r="U16" s="104" t="n">
        <f aca="false">-SUM(Model!T203:T233)-Model!T235</f>
        <v>497225.8787</v>
      </c>
      <c r="V16" s="104" t="n">
        <f aca="false">-SUM(Model!U203:U233)-Model!U235</f>
        <v>497225.8787</v>
      </c>
      <c r="W16" s="104" t="n">
        <f aca="false">-SUM(Model!V203:V233)-Model!V235</f>
        <v>493553.532546154</v>
      </c>
      <c r="X16" s="104" t="n">
        <f aca="false">-SUM(Model!W203:W233)-Model!W235</f>
        <v>479707.3787</v>
      </c>
      <c r="Y16" s="104" t="n">
        <f aca="false">-SUM(Model!X203:X233)-Model!X235</f>
        <v>479707.3787</v>
      </c>
      <c r="Z16" s="104" t="n">
        <f aca="false">-SUM(Model!Y203:Y233)-Model!Y235</f>
        <v>478075.224853846</v>
      </c>
      <c r="AA16" s="104" t="n">
        <f aca="false">-SUM(Model!Z203:Z233)-Model!Z235</f>
        <v>463454.580623077</v>
      </c>
      <c r="AB16" s="104" t="n">
        <f aca="false">-SUM(Model!AA203:AA233)-Model!AA235</f>
        <v>431531.5037</v>
      </c>
      <c r="AC16" s="104" t="n">
        <f aca="false">-SUM(Model!AB203:AB233)-Model!AB235</f>
        <v>428267.196007692</v>
      </c>
      <c r="AD16" s="104" t="n">
        <f aca="false">-SUM(Model!AC203:AC233)-Model!AC235</f>
        <v>417909.393197077</v>
      </c>
      <c r="AE16" s="104" t="n">
        <f aca="false">-SUM(Model!AD203:AD233)-Model!AD235</f>
        <v>395986.316274</v>
      </c>
      <c r="AF16" s="104" t="n">
        <f aca="false">-SUM(Model!AE203:AE233)-Model!AE235</f>
        <v>395986.316274</v>
      </c>
      <c r="AG16" s="104" t="n">
        <f aca="false">-SUM(Model!AF203:AF233)-Model!AF235</f>
        <v>395986.316274</v>
      </c>
      <c r="AH16" s="104" t="n">
        <f aca="false">-SUM(Model!AG203:AG233)-Model!AG235</f>
        <v>395986.316274</v>
      </c>
      <c r="AI16" s="104" t="n">
        <f aca="false">-SUM(Model!AH203:AH233)-Model!AH235</f>
        <v>395986.316274</v>
      </c>
      <c r="AJ16" s="104" t="n">
        <f aca="false">-SUM(Model!AI203:AI233)-Model!AI235</f>
        <v>395986.316274</v>
      </c>
      <c r="AK16" s="104" t="n">
        <f aca="false">-SUM(Model!AJ203:AJ233)-Model!AJ235</f>
        <v>395986.316274</v>
      </c>
      <c r="AL16" s="104" t="n">
        <f aca="false">-SUM(Model!AK203:AK233)-Model!AK235</f>
        <v>395986.316274</v>
      </c>
      <c r="AM16" s="104" t="n">
        <f aca="false">-SUM(Model!AL203:AL233)-Model!AL235</f>
        <v>395986.316274</v>
      </c>
      <c r="AN16" s="104" t="n">
        <f aca="false">-SUM(Model!AM203:AM233)-Model!AM235</f>
        <v>395986.316274</v>
      </c>
      <c r="AO16" s="104" t="n">
        <f aca="false">-SUM(Model!AN203:AN233)-Model!AN235</f>
        <v>395986.316274</v>
      </c>
      <c r="AP16" s="104" t="n">
        <f aca="false">-SUM(Model!AO203:AO233)-Model!AO235</f>
        <v>403906.04259948</v>
      </c>
      <c r="AQ16" s="104" t="n">
        <f aca="false">-SUM(Model!AP203:AP233)-Model!AP235</f>
        <v>403906.04259948</v>
      </c>
      <c r="AR16" s="104" t="n">
        <f aca="false">-SUM(Model!AQ203:AQ233)-Model!AQ235</f>
        <v>403906.04259948</v>
      </c>
      <c r="AS16" s="104" t="n">
        <f aca="false">-SUM(Model!AR203:AR233)-Model!AR235</f>
        <v>403906.04259948</v>
      </c>
      <c r="AT16" s="104" t="n">
        <f aca="false">-SUM(Model!AS203:AS233)-Model!AS235</f>
        <v>403906.04259948</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1212</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6</v>
      </c>
      <c r="S17" s="9" t="n">
        <f aca="false">SUMPRODUCT((Projects!$G$2:$G$14="Yes")*(S$15&gt;=Projects!$C$2:$C$14)*(S$15&lt;Projects!$C$2:$C$14+Projects!$D$2:$D$14))+SUMPRODUCT((Projects!$G$17:$G$46="Yes")*(S$15&gt;=Projects!$C$17:$C$46)*(S$15&lt;Projects!$C$17:$C$46+Projects!$D$17:$D$46))</f>
        <v>6</v>
      </c>
      <c r="T17" s="9" t="n">
        <f aca="false">SUMPRODUCT((Projects!$G$2:$G$14="Yes")*(T$15&gt;=Projects!$C$2:$C$14)*(T$15&lt;Projects!$C$2:$C$14+Projects!$D$2:$D$14))+SUMPRODUCT((Projects!$G$17:$G$46="Yes")*(T$15&gt;=Projects!$C$17:$C$46)*(T$15&lt;Projects!$C$17:$C$46+Projects!$D$17:$D$46))</f>
        <v>6</v>
      </c>
      <c r="U17" s="9" t="n">
        <f aca="false">SUMPRODUCT((Projects!$G$2:$G$14="Yes")*(U$15&gt;=Projects!$C$2:$C$14)*(U$15&lt;Projects!$C$2:$C$14+Projects!$D$2:$D$14))+SUMPRODUCT((Projects!$G$17:$G$46="Yes")*(U$15&gt;=Projects!$C$17:$C$46)*(U$15&lt;Projects!$C$17:$C$46+Projects!$D$17:$D$46))</f>
        <v>6</v>
      </c>
      <c r="V17" s="9" t="n">
        <f aca="false">SUMPRODUCT((Projects!$G$2:$G$14="Yes")*(V$15&gt;=Projects!$C$2:$C$14)*(V$15&lt;Projects!$C$2:$C$14+Projects!$D$2:$D$14))+SUMPRODUCT((Projects!$G$17:$G$46="Yes")*(V$15&gt;=Projects!$C$17:$C$46)*(V$15&lt;Projects!$C$17:$C$46+Projects!$D$17:$D$46))</f>
        <v>6</v>
      </c>
      <c r="W17" s="9" t="n">
        <f aca="false">SUMPRODUCT((Projects!$G$2:$G$14="Yes")*(W$15&gt;=Projects!$C$2:$C$14)*(W$15&lt;Projects!$C$2:$C$14+Projects!$D$2:$D$14))+SUMPRODUCT((Projects!$G$17:$G$46="Yes")*(W$15&gt;=Projects!$C$17:$C$46)*(W$15&lt;Projects!$C$17:$C$46+Projects!$D$17:$D$46))</f>
        <v>6</v>
      </c>
      <c r="X17" s="9" t="n">
        <f aca="false">SUMPRODUCT((Projects!$G$2:$G$14="Yes")*(X$15&gt;=Projects!$C$2:$C$14)*(X$15&lt;Projects!$C$2:$C$14+Projects!$D$2:$D$14))+SUMPRODUCT((Projects!$G$17:$G$46="Yes")*(X$15&gt;=Projects!$C$17:$C$46)*(X$15&lt;Projects!$C$17:$C$46+Projects!$D$17:$D$46))</f>
        <v>6</v>
      </c>
      <c r="Y17" s="9" t="n">
        <f aca="false">SUMPRODUCT((Projects!$G$2:$G$14="Yes")*(Y$15&gt;=Projects!$C$2:$C$14)*(Y$15&lt;Projects!$C$2:$C$14+Projects!$D$2:$D$14))+SUMPRODUCT((Projects!$G$17:$G$46="Yes")*(Y$15&gt;=Projects!$C$17:$C$46)*(Y$15&lt;Projects!$C$17:$C$46+Projects!$D$17:$D$46))</f>
        <v>6</v>
      </c>
      <c r="Z17" s="9" t="n">
        <f aca="false">SUMPRODUCT((Projects!$G$2:$G$14="Yes")*(Z$15&gt;=Projects!$C$2:$C$14)*(Z$15&lt;Projects!$C$2:$C$14+Projects!$D$2:$D$14))+SUMPRODUCT((Projects!$G$17:$G$46="Yes")*(Z$15&gt;=Projects!$C$17:$C$46)*(Z$15&lt;Projects!$C$17:$C$46+Projects!$D$17:$D$46))</f>
        <v>6</v>
      </c>
      <c r="AA17" s="9" t="n">
        <f aca="false">SUMPRODUCT((Projects!$G$2:$G$14="Yes")*(AA$15&gt;=Projects!$C$2:$C$14)*(AA$15&lt;Projects!$C$2:$C$14+Projects!$D$2:$D$14))+SUMPRODUCT((Projects!$G$17:$G$46="Yes")*(AA$15&gt;=Projects!$C$17:$C$46)*(AA$15&lt;Projects!$C$17:$C$46+Projects!$D$17:$D$46))</f>
        <v>6</v>
      </c>
      <c r="AB17" s="9" t="n">
        <f aca="false">SUMPRODUCT((Projects!$G$2:$G$14="Yes")*(AB$15&gt;=Projects!$C$2:$C$14)*(AB$15&lt;Projects!$C$2:$C$14+Projects!$D$2:$D$14))+SUMPRODUCT((Projects!$G$17:$G$46="Yes")*(AB$15&gt;=Projects!$C$17:$C$46)*(AB$15&lt;Projects!$C$17:$C$46+Projects!$D$17:$D$46))</f>
        <v>6</v>
      </c>
      <c r="AC17" s="9" t="n">
        <f aca="false">SUMPRODUCT((Projects!$G$2:$G$14="Yes")*(AC$15&gt;=Projects!$C$2:$C$14)*(AC$15&lt;Projects!$C$2:$C$14+Projects!$D$2:$D$14))+SUMPRODUCT((Projects!$G$17:$G$46="Yes")*(AC$15&gt;=Projects!$C$17:$C$46)*(AC$15&lt;Projects!$C$17:$C$46+Projects!$D$17:$D$46))</f>
        <v>5</v>
      </c>
      <c r="AD17" s="9" t="n">
        <f aca="false">SUMPRODUCT((Projects!$G$2:$G$14="Yes")*(AD$15&gt;=Projects!$C$2:$C$14)*(AD$15&lt;Projects!$C$2:$C$14+Projects!$D$2:$D$14))+SUMPRODUCT((Projects!$G$17:$G$46="Yes")*(AD$15&gt;=Projects!$C$17:$C$46)*(AD$15&lt;Projects!$C$17:$C$46+Projects!$D$17:$D$46))</f>
        <v>4</v>
      </c>
      <c r="AE17" s="9" t="n">
        <f aca="false">SUMPRODUCT((Projects!$G$2:$G$14="Yes")*(AE$15&gt;=Projects!$C$2:$C$14)*(AE$15&lt;Projects!$C$2:$C$14+Projects!$D$2:$D$14))+SUMPRODUCT((Projects!$G$17:$G$46="Yes")*(AE$15&gt;=Projects!$C$17:$C$46)*(AE$15&lt;Projects!$C$17:$C$46+Projects!$D$17:$D$46))</f>
        <v>4</v>
      </c>
      <c r="AF17" s="9" t="n">
        <f aca="false">SUMPRODUCT((Projects!$G$2:$G$14="Yes")*(AF$15&gt;=Projects!$C$2:$C$14)*(AF$15&lt;Projects!$C$2:$C$14+Projects!$D$2:$D$14))+SUMPRODUCT((Projects!$G$17:$G$46="Yes")*(AF$15&gt;=Projects!$C$17:$C$46)*(AF$15&lt;Projects!$C$17:$C$46+Projects!$D$17:$D$46))</f>
        <v>4</v>
      </c>
      <c r="AG17" s="9" t="n">
        <f aca="false">SUMPRODUCT((Projects!$G$2:$G$14="Yes")*(AG$15&gt;=Projects!$C$2:$C$14)*(AG$15&lt;Projects!$C$2:$C$14+Projects!$D$2:$D$14))+SUMPRODUCT((Projects!$G$17:$G$46="Yes")*(AG$15&gt;=Projects!$C$17:$C$46)*(AG$15&lt;Projects!$C$17:$C$46+Projects!$D$17:$D$46))</f>
        <v>4</v>
      </c>
      <c r="AH17" s="9" t="n">
        <f aca="false">SUMPRODUCT((Projects!$G$2:$G$14="Yes")*(AH$15&gt;=Projects!$C$2:$C$14)*(AH$15&lt;Projects!$C$2:$C$14+Projects!$D$2:$D$14))+SUMPRODUCT((Projects!$G$17:$G$46="Yes")*(AH$15&gt;=Projects!$C$17:$C$46)*(AH$15&lt;Projects!$C$17:$C$46+Projects!$D$17:$D$46))</f>
        <v>2</v>
      </c>
      <c r="AI17" s="9" t="n">
        <f aca="false">SUMPRODUCT((Projects!$G$2:$G$14="Yes")*(AI$15&gt;=Projects!$C$2:$C$14)*(AI$15&lt;Projects!$C$2:$C$14+Projects!$D$2:$D$14))+SUMPRODUCT((Projects!$G$17:$G$46="Yes")*(AI$15&gt;=Projects!$C$17:$C$46)*(AI$15&lt;Projects!$C$17:$C$46+Projects!$D$17:$D$46))</f>
        <v>1</v>
      </c>
      <c r="AJ17" s="9" t="n">
        <f aca="false">SUMPRODUCT((Projects!$G$2:$G$14="Yes")*(AJ$15&gt;=Projects!$C$2:$C$14)*(AJ$15&lt;Projects!$C$2:$C$14+Projects!$D$2:$D$14))+SUMPRODUCT((Projects!$G$17:$G$46="Yes")*(AJ$15&gt;=Projects!$C$17:$C$46)*(AJ$15&lt;Projects!$C$17:$C$46+Projects!$D$17:$D$46))</f>
        <v>1</v>
      </c>
      <c r="AK17" s="9" t="n">
        <f aca="false">SUMPRODUCT((Projects!$G$2:$G$14="Yes")*(AK$15&gt;=Projects!$C$2:$C$14)*(AK$15&lt;Projects!$C$2:$C$14+Projects!$D$2:$D$14))+SUMPRODUCT((Projects!$G$17:$G$46="Yes")*(AK$15&gt;=Projects!$C$17:$C$46)*(AK$15&lt;Projects!$C$17:$C$46+Projects!$D$17:$D$46))</f>
        <v>1</v>
      </c>
      <c r="AL17" s="9" t="n">
        <f aca="false">SUMPRODUCT((Projects!$G$2:$G$14="Yes")*(AL$15&gt;=Projects!$C$2:$C$14)*(AL$15&lt;Projects!$C$2:$C$14+Projects!$D$2:$D$14))+SUMPRODUCT((Projects!$G$17:$G$46="Yes")*(AL$15&gt;=Projects!$C$17:$C$46)*(AL$15&lt;Projects!$C$17:$C$46+Projects!$D$17:$D$46))</f>
        <v>0</v>
      </c>
      <c r="AM17" s="9" t="n">
        <f aca="false">SUMPRODUCT((Projects!$G$2:$G$14="Yes")*(AM$15&gt;=Projects!$C$2:$C$14)*(AM$15&lt;Projects!$C$2:$C$14+Projects!$D$2:$D$14))+SUMPRODUCT((Projects!$G$17:$G$46="Yes")*(AM$15&gt;=Projects!$C$17:$C$46)*(AM$15&lt;Projects!$C$17:$C$46+Projects!$D$17:$D$46))</f>
        <v>0</v>
      </c>
      <c r="AN17" s="9" t="n">
        <f aca="false">SUMPRODUCT((Projects!$G$2:$G$14="Yes")*(AN$15&gt;=Projects!$C$2:$C$14)*(AN$15&lt;Projects!$C$2:$C$14+Projects!$D$2:$D$14))+SUMPRODUCT((Projects!$G$17:$G$46="Yes")*(AN$15&gt;=Projects!$C$17:$C$46)*(AN$15&lt;Projects!$C$17:$C$46+Projects!$D$17:$D$46))</f>
        <v>0</v>
      </c>
      <c r="AO17" s="9" t="n">
        <f aca="false">SUMPRODUCT((Projects!$G$2:$G$14="Yes")*(AO$15&gt;=Projects!$C$2:$C$14)*(AO$15&lt;Projects!$C$2:$C$14+Projects!$D$2:$D$14))+SUMPRODUCT((Projects!$G$17:$G$46="Yes")*(AO$15&gt;=Projects!$C$17:$C$46)*(AO$15&lt;Projects!$C$17:$C$46+Projects!$D$17:$D$46))</f>
        <v>0</v>
      </c>
      <c r="AP17" s="9" t="n">
        <f aca="false">SUMPRODUCT((Projects!$G$2:$G$14="Yes")*(AP$15&gt;=Projects!$C$2:$C$14)*(AP$15&lt;Projects!$C$2:$C$14+Projects!$D$2:$D$14))+SUMPRODUCT((Projects!$G$17:$G$46="Yes")*(AP$15&gt;=Projects!$C$17:$C$46)*(AP$15&lt;Projects!$C$17:$C$46+Projects!$D$17:$D$46))</f>
        <v>0</v>
      </c>
      <c r="AQ17" s="9" t="n">
        <f aca="false">SUMPRODUCT((Projects!$G$2:$G$14="Yes")*(AQ$15&gt;=Projects!$C$2:$C$14)*(AQ$15&lt;Projects!$C$2:$C$14+Projects!$D$2:$D$14))+SUMPRODUCT((Projects!$G$17:$G$46="Yes")*(AQ$15&gt;=Projects!$C$17:$C$46)*(AQ$15&lt;Projects!$C$17:$C$46+Projects!$D$17:$D$46))</f>
        <v>0</v>
      </c>
      <c r="AR17" s="9" t="n">
        <f aca="false">SUMPRODUCT((Projects!$G$2:$G$14="Yes")*(AR$15&gt;=Projects!$C$2:$C$14)*(AR$15&lt;Projects!$C$2:$C$14+Projects!$D$2:$D$14))+SUMPRODUCT((Projects!$G$17:$G$46="Yes")*(AR$15&gt;=Projects!$C$17:$C$46)*(AR$15&lt;Projects!$C$17:$C$46+Projects!$D$17:$D$46))</f>
        <v>0</v>
      </c>
      <c r="AS17" s="9" t="n">
        <f aca="false">SUMPRODUCT((Projects!$G$2:$G$14="Yes")*(AS$15&gt;=Projects!$C$2:$C$14)*(AS$15&lt;Projects!$C$2:$C$14+Projects!$D$2:$D$14))+SUMPRODUCT((Projects!$G$17:$G$46="Yes")*(AS$15&gt;=Projects!$C$17:$C$46)*(AS$15&lt;Projects!$C$17:$C$46+Projects!$D$17:$D$46))</f>
        <v>0</v>
      </c>
      <c r="AT17" s="9" t="n">
        <f aca="false">SUMPRODUCT((Projects!$G$2:$G$14="Yes")*(AT$15&gt;=Projects!$C$2:$C$14)*(AT$15&lt;Projects!$C$2:$C$14+Projects!$D$2:$D$14))+SUMPRODUCT((Projects!$G$17:$G$46="Yes")*(AT$15&gt;=Projects!$C$17:$C$46)*(AT$15&lt;Projects!$C$17:$C$46+Projects!$D$17:$D$46))</f>
        <v>0</v>
      </c>
      <c r="AU17" s="9" t="n">
        <f aca="false">SUMPRODUCT((Projects!$G$2:$G$14="Yes")*(AU$15&gt;=Projects!$C$2:$C$14)*(AU$15&lt;Projects!$C$2:$C$14+Projects!$D$2:$D$14))+SUMPRODUCT((Projects!$G$17:$G$46="Yes")*(AU$15&gt;=Projects!$C$17:$C$46)*(AU$15&lt;Projects!$C$17:$C$46+Projects!$D$17:$D$46))</f>
        <v>0</v>
      </c>
      <c r="AV17" s="9" t="n">
        <f aca="false">SUMPRODUCT((Projects!$G$2:$G$14="Yes")*(AV$15&gt;=Projects!$C$2:$C$14)*(AV$15&lt;Projects!$C$2:$C$14+Projects!$D$2:$D$14))+SUMPRODUCT((Projects!$G$17:$G$46="Yes")*(AV$15&gt;=Projects!$C$17:$C$46)*(AV$15&lt;Projects!$C$17:$C$46+Projects!$D$17:$D$46))</f>
        <v>0</v>
      </c>
      <c r="AW17" s="9" t="n">
        <f aca="false">SUMPRODUCT((Projects!$G$2:$G$14="Yes")*(AW$15&gt;=Projects!$C$2:$C$14)*(AW$15&lt;Projects!$C$2:$C$14+Projects!$D$2:$D$14))+SUMPRODUCT((Projects!$G$17:$G$46="Yes")*(AW$15&gt;=Projects!$C$17:$C$46)*(AW$15&lt;Projects!$C$17:$C$46+Projects!$D$17:$D$46))</f>
        <v>0</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1213</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82870.9797833333</v>
      </c>
      <c r="S18" s="104" t="n">
        <f aca="false">IFERROR(S16/S17,0)</f>
        <v>82870.9797833333</v>
      </c>
      <c r="T18" s="104" t="n">
        <f aca="false">IFERROR(T16/T17,0)</f>
        <v>82870.9797833333</v>
      </c>
      <c r="U18" s="104" t="n">
        <f aca="false">IFERROR(U16/U17,0)</f>
        <v>82870.9797833333</v>
      </c>
      <c r="V18" s="104" t="n">
        <f aca="false">IFERROR(V16/V17,0)</f>
        <v>82870.9797833333</v>
      </c>
      <c r="W18" s="104" t="n">
        <f aca="false">IFERROR(W16/W17,0)</f>
        <v>82258.9220910256</v>
      </c>
      <c r="X18" s="104" t="n">
        <f aca="false">IFERROR(X16/X17,0)</f>
        <v>79951.2297833333</v>
      </c>
      <c r="Y18" s="104" t="n">
        <f aca="false">IFERROR(Y16/Y17,0)</f>
        <v>79951.2297833333</v>
      </c>
      <c r="Z18" s="104" t="n">
        <f aca="false">IFERROR(Z16/Z17,0)</f>
        <v>79679.2041423077</v>
      </c>
      <c r="AA18" s="104" t="n">
        <f aca="false">IFERROR(AA16/AA17,0)</f>
        <v>77242.4301038462</v>
      </c>
      <c r="AB18" s="104" t="n">
        <f aca="false">IFERROR(AB16/AB17,0)</f>
        <v>71921.9172833333</v>
      </c>
      <c r="AC18" s="104" t="n">
        <f aca="false">IFERROR(AC16/AC17,0)</f>
        <v>85653.4392015385</v>
      </c>
      <c r="AD18" s="104" t="n">
        <f aca="false">IFERROR(AD16/AD17,0)</f>
        <v>104477.348299269</v>
      </c>
      <c r="AE18" s="104" t="n">
        <f aca="false">IFERROR(AE16/AE17,0)</f>
        <v>98996.5790685</v>
      </c>
      <c r="AF18" s="104" t="n">
        <f aca="false">IFERROR(AF16/AF17,0)</f>
        <v>98996.5790685</v>
      </c>
      <c r="AG18" s="104" t="n">
        <f aca="false">IFERROR(AG16/AG17,0)</f>
        <v>98996.5790685</v>
      </c>
      <c r="AH18" s="104" t="n">
        <f aca="false">IFERROR(AH16/AH17,0)</f>
        <v>197993.158137</v>
      </c>
      <c r="AI18" s="104" t="n">
        <f aca="false">IFERROR(AI16/AI17,0)</f>
        <v>395986.316274</v>
      </c>
      <c r="AJ18" s="104" t="n">
        <f aca="false">IFERROR(AJ16/AJ17,0)</f>
        <v>395986.316274</v>
      </c>
      <c r="AK18" s="104" t="n">
        <f aca="false">IFERROR(AK16/AK17,0)</f>
        <v>395986.316274</v>
      </c>
      <c r="AL18" s="104" t="n">
        <f aca="false">IFERROR(AL16/AL17,0)</f>
        <v>0</v>
      </c>
      <c r="AM18" s="104" t="n">
        <f aca="false">IFERROR(AM16/AM17,0)</f>
        <v>0</v>
      </c>
      <c r="AN18" s="104" t="n">
        <f aca="false">IFERROR(AN16/AN17,0)</f>
        <v>0</v>
      </c>
      <c r="AO18" s="104" t="n">
        <f aca="false">IFERROR(AO16/AO17,0)</f>
        <v>0</v>
      </c>
      <c r="AP18" s="104" t="n">
        <f aca="false">IFERROR(AP16/AP17,0)</f>
        <v>0</v>
      </c>
      <c r="AQ18" s="104" t="n">
        <f aca="false">IFERROR(AQ16/AQ17,0)</f>
        <v>0</v>
      </c>
      <c r="AR18" s="104" t="n">
        <f aca="false">IFERROR(AR16/AR17,0)</f>
        <v>0</v>
      </c>
      <c r="AS18" s="104" t="n">
        <f aca="false">IFERROR(AS16/AS17,0)</f>
        <v>0</v>
      </c>
      <c r="AT18" s="104" t="n">
        <f aca="false">IFERROR(AT16/AT17,0)</f>
        <v>0</v>
      </c>
      <c r="AU18" s="104" t="n">
        <f aca="false">IFERROR(AU16/AU17,0)</f>
        <v>0</v>
      </c>
      <c r="AV18" s="104" t="n">
        <f aca="false">IFERROR(AV16/AV17,0)</f>
        <v>0</v>
      </c>
      <c r="AW18" s="104" t="n">
        <f aca="false">IFERROR(AW16/AW17,0)</f>
        <v>0</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1214</v>
      </c>
      <c r="B20" s="124" t="s">
        <v>905</v>
      </c>
      <c r="C20" s="124" t="s">
        <v>581</v>
      </c>
      <c r="D20" s="124" t="s">
        <v>583</v>
      </c>
      <c r="E20" s="124" t="s">
        <v>556</v>
      </c>
      <c r="F20" s="124" t="s">
        <v>1215</v>
      </c>
      <c r="G20" s="124" t="s">
        <v>582</v>
      </c>
      <c r="H20" s="124" t="s">
        <v>1216</v>
      </c>
      <c r="I20" s="124" t="s">
        <v>1217</v>
      </c>
      <c r="J20" s="124" t="s">
        <v>1218</v>
      </c>
      <c r="K20" s="124" t="s">
        <v>1219</v>
      </c>
      <c r="L20" s="124" t="s">
        <v>1220</v>
      </c>
      <c r="M20" s="124" t="s">
        <v>1221</v>
      </c>
      <c r="N20" s="124" t="s">
        <v>1222</v>
      </c>
      <c r="O20" s="124" t="s">
        <v>1223</v>
      </c>
      <c r="P20" s="124" t="s">
        <v>476</v>
      </c>
      <c r="Q20" s="124" t="s">
        <v>1224</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No</v>
      </c>
      <c r="F21" s="1" t="str">
        <f aca="false">Projects!M17</f>
        <v>Yes</v>
      </c>
      <c r="G21" s="9" t="n">
        <f aca="false">C21+D21-1</f>
        <v>32</v>
      </c>
      <c r="H21" s="9" t="n">
        <f aca="false">C21+1</f>
        <v>15</v>
      </c>
      <c r="I21" s="350"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50"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No</v>
      </c>
      <c r="F22" s="1" t="str">
        <f aca="false">Projects!M18</f>
        <v>Yes</v>
      </c>
      <c r="G22" s="9" t="n">
        <f aca="false">C22+D22-1</f>
        <v>33</v>
      </c>
      <c r="H22" s="9" t="n">
        <f aca="false">C22+1</f>
        <v>16</v>
      </c>
      <c r="I22" s="350"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50"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No</v>
      </c>
      <c r="F23" s="1" t="str">
        <f aca="false">Projects!M19</f>
        <v>Yes</v>
      </c>
      <c r="G23" s="9" t="n">
        <f aca="false">C23+D23-1</f>
        <v>34</v>
      </c>
      <c r="H23" s="9" t="n">
        <f aca="false">C23+1</f>
        <v>17</v>
      </c>
      <c r="I23" s="350"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50"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No</v>
      </c>
      <c r="F24" s="1" t="str">
        <f aca="false">Projects!M20</f>
        <v>No</v>
      </c>
      <c r="G24" s="9" t="n">
        <f aca="false">C24+D24-1</f>
        <v>43</v>
      </c>
      <c r="H24" s="9" t="n">
        <f aca="false">C24+1</f>
        <v>21</v>
      </c>
      <c r="I24" s="350"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50"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50" t="n">
        <f aca="false">IF($F25="Yes",INDEX($G$6:$G$14,MATCH(MIN($G25,105),$B$6:$B$14,1)),1)</f>
        <v>0.25</v>
      </c>
      <c r="J25" s="104" t="n">
        <f aca="false">IF($E25="Yes",$B25*Assumptions!$B$9*0.95/$D25*SUMPRODUCT(($C$15:$DF$15&gt;=$C25)*($C$15:$DF$15&lt;$C25+$D25))+$B25*Assumptions!$B$9*0.05*SUMPRODUCT(--($C$15:$DF$15=$G25)),0)</f>
        <v>1828680.14792125</v>
      </c>
      <c r="K25" s="104" t="n">
        <f aca="false">IF($E25="Yes",SUMPRODUCT(($C$15:$DF$15&gt;=$C25)*($C$15:$DF$15&lt;$C25+$D25)*$C$18:$DF$18),0)</f>
        <v>1647092.32769904</v>
      </c>
      <c r="L25" s="104" t="n">
        <f aca="false">J25-K25</f>
        <v>181587.820222207</v>
      </c>
      <c r="M25" s="350" t="n">
        <f aca="false">$B$3*I25</f>
        <v>0.025</v>
      </c>
      <c r="N25" s="104" t="n">
        <f aca="false">IF($E25="Yes",$B$2*$B25,0)</f>
        <v>37973.771875</v>
      </c>
      <c r="O25" s="104" t="n">
        <f aca="false">M25*MAX(0,L25)</f>
        <v>4539.69550555518</v>
      </c>
      <c r="P25" s="104" t="n">
        <f aca="false">N25+Q25</f>
        <v>37973.771875</v>
      </c>
      <c r="Q25" s="104" t="n">
        <f aca="false">MAX(0,O25-N25)</f>
        <v>0</v>
      </c>
    </row>
    <row r="26" customFormat="false" ht="15" hidden="false" customHeight="true" outlineLevel="0" collapsed="false">
      <c r="A26" s="1" t="str">
        <f aca="false">Projects!A22</f>
        <v>BD-06</v>
      </c>
      <c r="B26" s="104" t="n">
        <f aca="false">Projects!B22</f>
        <v>15000000</v>
      </c>
      <c r="C26" s="9" t="n">
        <f aca="false">Projects!C22</f>
        <v>31</v>
      </c>
      <c r="D26" s="9" t="n">
        <f aca="false">Projects!D22</f>
        <v>19</v>
      </c>
      <c r="E26" s="1" t="str">
        <f aca="false">Projects!G22</f>
        <v>No</v>
      </c>
      <c r="F26" s="1" t="str">
        <f aca="false">Projects!M22</f>
        <v>No</v>
      </c>
      <c r="G26" s="9" t="n">
        <f aca="false">C26+D26-1</f>
        <v>49</v>
      </c>
      <c r="H26" s="9" t="n">
        <f aca="false">C26+1</f>
        <v>32</v>
      </c>
      <c r="I26" s="350"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50"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50"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50"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50"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50"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50"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50"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50"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50"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50"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50"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50"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50"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50"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50"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50"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50"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50"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50"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50"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50"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50"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50"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50"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50"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50"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50"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50"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50"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50"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50"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50"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50"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50"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50"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50"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50"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50"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50"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50"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50"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50"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50"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50"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50"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50"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50"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50"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50"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1225</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09375" defaultRowHeight="13.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6" customFormat="true" ht="15" hidden="false" customHeight="true" outlineLevel="0" collapsed="false">
      <c r="A1" s="355" t="s">
        <v>550</v>
      </c>
      <c r="B1" s="355" t="s">
        <v>1226</v>
      </c>
      <c r="C1" s="355" t="s">
        <v>1227</v>
      </c>
      <c r="D1" s="355" t="s">
        <v>1228</v>
      </c>
      <c r="E1" s="355" t="s">
        <v>1229</v>
      </c>
      <c r="F1" s="355" t="s">
        <v>1230</v>
      </c>
      <c r="G1" s="355" t="s">
        <v>1231</v>
      </c>
    </row>
    <row r="2" customFormat="false" ht="15" hidden="false" customHeight="true" outlineLevel="0" collapsed="false">
      <c r="A2" s="177" t="s">
        <v>7</v>
      </c>
      <c r="B2" s="178" t="n">
        <v>64068.16</v>
      </c>
      <c r="C2" s="178" t="n">
        <v>262447.96</v>
      </c>
      <c r="D2" s="357" t="n">
        <f aca="false">C2*0.05</f>
        <v>13122.398</v>
      </c>
      <c r="E2" s="357" t="n">
        <f aca="false">B2+D2</f>
        <v>77190.558</v>
      </c>
      <c r="F2" s="358" t="n">
        <f aca="false">Projects!$C$2+Projects!$D$2-1</f>
        <v>8</v>
      </c>
      <c r="G2" s="359" t="n">
        <f aca="false">EDATE(DATE(2026,4,1),F2-1)</f>
        <v>46327</v>
      </c>
    </row>
    <row r="3" customFormat="false" ht="15" hidden="false" customHeight="true" outlineLevel="0" collapsed="false">
      <c r="A3" s="177" t="s">
        <v>8</v>
      </c>
      <c r="B3" s="178" t="n">
        <v>71716.43</v>
      </c>
      <c r="C3" s="178" t="n">
        <v>1314727.24</v>
      </c>
      <c r="D3" s="357" t="n">
        <f aca="false">C3*0.05</f>
        <v>65736.362</v>
      </c>
      <c r="E3" s="357" t="n">
        <f aca="false">B3+D3</f>
        <v>137452.792</v>
      </c>
      <c r="F3" s="358" t="n">
        <v>18</v>
      </c>
      <c r="G3" s="359" t="n">
        <f aca="false">EDATE(DATE(2026,4,1),F3-1)</f>
        <v>46631</v>
      </c>
    </row>
    <row r="4" customFormat="false" ht="15" hidden="false" customHeight="true" outlineLevel="0" collapsed="false">
      <c r="A4" s="177" t="s">
        <v>9</v>
      </c>
      <c r="B4" s="178" t="n">
        <v>37008.93</v>
      </c>
      <c r="C4" s="178" t="n">
        <v>876131.96</v>
      </c>
      <c r="D4" s="357" t="n">
        <f aca="false">C4*0.05</f>
        <v>43806.598</v>
      </c>
      <c r="E4" s="357" t="n">
        <f aca="false">B4+D4</f>
        <v>80815.528</v>
      </c>
      <c r="F4" s="358" t="n">
        <v>17</v>
      </c>
      <c r="G4" s="359" t="n">
        <f aca="false">EDATE(DATE(2026,4,1),F4-1)</f>
        <v>46600</v>
      </c>
    </row>
    <row r="5" customFormat="false" ht="15" hidden="false" customHeight="true" outlineLevel="0" collapsed="false">
      <c r="A5" s="177" t="s">
        <v>10</v>
      </c>
      <c r="B5" s="178" t="n">
        <v>41184.33</v>
      </c>
      <c r="C5" s="178" t="n">
        <v>1021070.74</v>
      </c>
      <c r="D5" s="357" t="n">
        <f aca="false">C5*0.05</f>
        <v>51053.537</v>
      </c>
      <c r="E5" s="357" t="n">
        <f aca="false">B5+D5</f>
        <v>92237.867</v>
      </c>
      <c r="F5" s="358" t="n">
        <v>19</v>
      </c>
      <c r="G5" s="359" t="n">
        <f aca="false">EDATE(DATE(2026,4,1),F5-1)</f>
        <v>46661</v>
      </c>
    </row>
    <row r="6" customFormat="false" ht="15" hidden="false" customHeight="true" outlineLevel="0" collapsed="false">
      <c r="A6" s="177" t="s">
        <v>11</v>
      </c>
      <c r="B6" s="178" t="n">
        <v>15059.01</v>
      </c>
      <c r="C6" s="178" t="n">
        <v>307369.47</v>
      </c>
      <c r="D6" s="357" t="n">
        <f aca="false">C6*0.05</f>
        <v>15368.4735</v>
      </c>
      <c r="E6" s="357" t="n">
        <f aca="false">B6+D6</f>
        <v>30427.4835</v>
      </c>
      <c r="F6" s="358" t="n">
        <v>15</v>
      </c>
      <c r="G6" s="359" t="n">
        <f aca="false">EDATE(DATE(2026,4,1),F6-1)</f>
        <v>46539</v>
      </c>
    </row>
    <row r="7" customFormat="false" ht="15" hidden="false" customHeight="true" outlineLevel="0" collapsed="false">
      <c r="A7" s="177" t="s">
        <v>12</v>
      </c>
      <c r="B7" s="178" t="n">
        <v>5444.32</v>
      </c>
      <c r="C7" s="357" t="n">
        <v>5038551.52</v>
      </c>
      <c r="D7" s="357" t="n">
        <f aca="false">C7*0.05</f>
        <v>251927.576</v>
      </c>
      <c r="E7" s="357" t="n">
        <f aca="false">B7+D7</f>
        <v>257371.896</v>
      </c>
      <c r="F7" s="358" t="n">
        <v>36</v>
      </c>
      <c r="G7" s="359" t="n">
        <f aca="false">EDATE(DATE(2026,4,1),F7-1)</f>
        <v>47178</v>
      </c>
    </row>
    <row r="8" customFormat="false" ht="15" hidden="false" customHeight="true" outlineLevel="0" collapsed="false">
      <c r="A8" s="177" t="s">
        <v>13</v>
      </c>
      <c r="B8" s="178" t="n">
        <v>0</v>
      </c>
      <c r="C8" s="357" t="n">
        <f aca="false">IF(Projects!$G$8="Yes",Projects!$B$8*(Assumptions!$B$10+Assumptions!$B$11+Assumptions!$B$12),0)</f>
        <v>1564333.69243555</v>
      </c>
      <c r="D8" s="357" t="n">
        <f aca="false">C8*0.05</f>
        <v>78216.6846217775</v>
      </c>
      <c r="E8" s="357" t="n">
        <f aca="false">B8+D8</f>
        <v>78216.6846217775</v>
      </c>
      <c r="F8" s="358" t="n">
        <f aca="false">Projects!$C$8+Projects!$D$8-1</f>
        <v>24</v>
      </c>
      <c r="G8" s="359" t="n">
        <f aca="false">EDATE(DATE(2026,4,1),F8-1)</f>
        <v>46813</v>
      </c>
    </row>
    <row r="9" customFormat="false" ht="15" hidden="false" customHeight="true" outlineLevel="0" collapsed="false">
      <c r="A9" s="177" t="s">
        <v>14</v>
      </c>
      <c r="B9" s="178" t="n">
        <v>6916.62</v>
      </c>
      <c r="C9" s="357" t="n">
        <v>1587341.45</v>
      </c>
      <c r="D9" s="357" t="n">
        <f aca="false">C9*0.05</f>
        <v>79367.0725</v>
      </c>
      <c r="E9" s="357" t="n">
        <f aca="false">B9+D9</f>
        <v>86283.6925</v>
      </c>
      <c r="F9" s="358" t="n">
        <f aca="false">Projects!$C$9+Projects!$D$9-1</f>
        <v>23</v>
      </c>
      <c r="G9" s="359" t="n">
        <f aca="false">EDATE(DATE(2026,4,1),F9-1)</f>
        <v>46784</v>
      </c>
    </row>
    <row r="10" customFormat="false" ht="15" hidden="false" customHeight="true" outlineLevel="0" collapsed="false">
      <c r="A10" s="177" t="s">
        <v>15</v>
      </c>
      <c r="B10" s="178" t="n">
        <v>0</v>
      </c>
      <c r="C10" s="357" t="n">
        <f aca="false">IF(Projects!$G$10="Yes",Projects!$B$10*(Assumptions!$B$10+Assumptions!$B$11+Assumptions!$B$12),0)</f>
        <v>2559922.591355</v>
      </c>
      <c r="D10" s="357" t="n">
        <f aca="false">C10*0.05</f>
        <v>127996.12956775</v>
      </c>
      <c r="E10" s="357" t="n">
        <f aca="false">B10+D10</f>
        <v>127996.12956775</v>
      </c>
      <c r="F10" s="358" t="n">
        <f aca="false">Projects!$C$10+Projects!$D$10-1</f>
        <v>32</v>
      </c>
      <c r="G10" s="359" t="n">
        <f aca="false">EDATE(DATE(2026,4,1),F10-1)</f>
        <v>47058</v>
      </c>
    </row>
    <row r="11" customFormat="false" ht="15" hidden="false" customHeight="true" outlineLevel="0" collapsed="false">
      <c r="A11" s="177" t="s">
        <v>16</v>
      </c>
      <c r="B11" s="178" t="n">
        <v>0</v>
      </c>
      <c r="C11" s="357" t="n">
        <f aca="false">IF(Projects!$G$11="Yes",Projects!$B$11*(Assumptions!$B$10+Assumptions!$B$11+Assumptions!$B$12),0)</f>
        <v>1152997.729619</v>
      </c>
      <c r="D11" s="357" t="n">
        <f aca="false">C11*0.05</f>
        <v>57649.88648095</v>
      </c>
      <c r="E11" s="357" t="n">
        <f aca="false">B11+D11</f>
        <v>57649.88648095</v>
      </c>
      <c r="F11" s="358" t="n">
        <f aca="false">Projects!$C$11+Projects!$D$11-1</f>
        <v>29</v>
      </c>
      <c r="G11" s="359" t="n">
        <f aca="false">EDATE(DATE(2026,4,1),F11-1)</f>
        <v>46966</v>
      </c>
    </row>
    <row r="12" customFormat="false" ht="15" hidden="false" customHeight="true" outlineLevel="0" collapsed="false">
      <c r="A12" s="177" t="s">
        <v>17</v>
      </c>
      <c r="B12" s="178" t="n">
        <v>0</v>
      </c>
      <c r="C12" s="357" t="n">
        <f aca="false">IF(Projects!$G$12="Yes",Projects!$B$12*(Assumptions!$B$10+Assumptions!$B$11+Assumptions!$B$12),0)</f>
        <v>908374.534373</v>
      </c>
      <c r="D12" s="357" t="n">
        <f aca="false">C12*0.05</f>
        <v>45418.72671865</v>
      </c>
      <c r="E12" s="357" t="n">
        <f aca="false">B12+D12</f>
        <v>45418.72671865</v>
      </c>
      <c r="F12" s="358" t="n">
        <f aca="false">Projects!$C$12+Projects!$D$12-1</f>
        <v>28</v>
      </c>
      <c r="G12" s="359" t="n">
        <f aca="false">EDATE(DATE(2026,4,1),F12-1)</f>
        <v>46935</v>
      </c>
    </row>
    <row r="13" customFormat="false" ht="15" hidden="false" customHeight="true" outlineLevel="0" collapsed="false">
      <c r="A13" s="177" t="s">
        <v>18</v>
      </c>
      <c r="B13" s="178" t="n">
        <v>0</v>
      </c>
      <c r="C13" s="357" t="n">
        <f aca="false">IF(Projects!$G$13="Yes",Projects!$B$13*(Assumptions!$B$10+Assumptions!$B$11+Assumptions!$B$12),0)</f>
        <v>0</v>
      </c>
      <c r="D13" s="357" t="n">
        <f aca="false">C13*0.05</f>
        <v>0</v>
      </c>
      <c r="E13" s="357" t="n">
        <f aca="false">B13+D13</f>
        <v>0</v>
      </c>
      <c r="F13" s="358" t="n">
        <f aca="false">Projects!$C$13+Projects!$D$13-1</f>
        <v>42</v>
      </c>
      <c r="G13" s="359" t="n">
        <f aca="false">EDATE(DATE(2026,4,1),F13-1)</f>
        <v>47362</v>
      </c>
    </row>
    <row r="14" customFormat="false" ht="15" hidden="false" customHeight="true" outlineLevel="0" collapsed="false">
      <c r="A14" s="177" t="s">
        <v>19</v>
      </c>
      <c r="B14" s="178" t="n">
        <v>0</v>
      </c>
      <c r="C14" s="357" t="n">
        <f aca="false">IF(Projects!$G$14="Yes",Projects!$B$14*(Assumptions!$B$10+Assumptions!$B$11+Assumptions!$B$12),0)</f>
        <v>0</v>
      </c>
      <c r="D14" s="357" t="n">
        <f aca="false">C14*0.05</f>
        <v>0</v>
      </c>
      <c r="E14" s="357" t="n">
        <f aca="false">B14+D14</f>
        <v>0</v>
      </c>
      <c r="F14" s="358" t="n">
        <f aca="false">Projects!$C$14+Projects!$D$14-1</f>
        <v>56</v>
      </c>
      <c r="G14" s="359" t="n">
        <f aca="false">EDATE(DATE(2026,4,1),F14-1)</f>
        <v>47788</v>
      </c>
    </row>
    <row r="15" customFormat="false" ht="15" hidden="false" customHeight="true" outlineLevel="0" collapsed="false">
      <c r="A15" s="177" t="s">
        <v>1232</v>
      </c>
      <c r="B15" s="178" t="n">
        <v>0</v>
      </c>
      <c r="C15" s="357" t="n">
        <f aca="false">IF(Projects!$G$17="Yes",Projects!$B$17*(Assumptions!$B$10+Assumptions!$B$11+Assumptions!$B$12),0)</f>
        <v>0</v>
      </c>
      <c r="D15" s="357" t="n">
        <f aca="false">C15*0.05</f>
        <v>0</v>
      </c>
      <c r="E15" s="357" t="n">
        <f aca="false">B15+D15</f>
        <v>0</v>
      </c>
      <c r="F15" s="358" t="n">
        <f aca="false">Projects!$C$17+Projects!$D$17-1</f>
        <v>32</v>
      </c>
      <c r="G15" s="359" t="n">
        <f aca="false">EDATE(DATE(2026,4,1),F15-1)</f>
        <v>47058</v>
      </c>
    </row>
    <row r="16" customFormat="false" ht="15" hidden="false" customHeight="true" outlineLevel="0" collapsed="false">
      <c r="A16" s="177" t="s">
        <v>1233</v>
      </c>
      <c r="B16" s="178" t="n">
        <v>0</v>
      </c>
      <c r="C16" s="357" t="n">
        <f aca="false">IF(Projects!$G$18="Yes",Projects!$B$18*(Assumptions!$B$10+Assumptions!$B$11+Assumptions!$B$12),0)</f>
        <v>0</v>
      </c>
      <c r="D16" s="357" t="n">
        <f aca="false">C16*0.05</f>
        <v>0</v>
      </c>
      <c r="E16" s="357" t="n">
        <f aca="false">B16+D16</f>
        <v>0</v>
      </c>
      <c r="F16" s="358" t="n">
        <f aca="false">Projects!$C$18+Projects!$D$18-1</f>
        <v>33</v>
      </c>
      <c r="G16" s="359" t="n">
        <f aca="false">EDATE(DATE(2026,4,1),F16-1)</f>
        <v>47088</v>
      </c>
    </row>
    <row r="17" customFormat="false" ht="15" hidden="false" customHeight="true" outlineLevel="0" collapsed="false">
      <c r="A17" s="177" t="s">
        <v>1234</v>
      </c>
      <c r="B17" s="178" t="n">
        <v>0</v>
      </c>
      <c r="C17" s="357" t="n">
        <f aca="false">IF(Projects!$G$19="Yes",Projects!$B$19*(Assumptions!$B$10+Assumptions!$B$11+Assumptions!$B$12),0)</f>
        <v>0</v>
      </c>
      <c r="D17" s="357" t="n">
        <f aca="false">C17*0.05</f>
        <v>0</v>
      </c>
      <c r="E17" s="357" t="n">
        <f aca="false">B17+D17</f>
        <v>0</v>
      </c>
      <c r="F17" s="358" t="n">
        <f aca="false">Projects!$C$19+Projects!$D$19-1</f>
        <v>34</v>
      </c>
      <c r="G17" s="359" t="n">
        <f aca="false">EDATE(DATE(2026,4,1),F17-1)</f>
        <v>47119</v>
      </c>
    </row>
    <row r="18" customFormat="false" ht="15" hidden="false" customHeight="true" outlineLevel="0" collapsed="false">
      <c r="A18" s="177" t="s">
        <v>23</v>
      </c>
      <c r="B18" s="178" t="n">
        <v>0</v>
      </c>
      <c r="C18" s="357" t="n">
        <f aca="false">IF(Projects!$G$20="Yes",Projects!$B$20*(Assumptions!$B$10+Assumptions!$B$11+Assumptions!$B$12),0)</f>
        <v>0</v>
      </c>
      <c r="D18" s="357" t="n">
        <f aca="false">C18*0.05</f>
        <v>0</v>
      </c>
      <c r="E18" s="357" t="n">
        <f aca="false">B18+D18</f>
        <v>0</v>
      </c>
      <c r="F18" s="358" t="n">
        <f aca="false">Projects!$C$20+Projects!$D$20-1</f>
        <v>43</v>
      </c>
      <c r="G18" s="359" t="n">
        <f aca="false">EDATE(DATE(2026,4,1),F18-1)</f>
        <v>47392</v>
      </c>
    </row>
    <row r="19" customFormat="false" ht="15" hidden="false" customHeight="true" outlineLevel="0" collapsed="false">
      <c r="A19" s="177" t="s">
        <v>24</v>
      </c>
      <c r="B19" s="178" t="n">
        <v>0</v>
      </c>
      <c r="C19" s="357" t="n">
        <f aca="false">IF(Projects!$G$21="Yes",Projects!$B$21*(Assumptions!$B$10+Assumptions!$B$11+Assumptions!$B$12),0)</f>
        <v>1828680.14792125</v>
      </c>
      <c r="D19" s="357" t="n">
        <f aca="false">C19*0.05</f>
        <v>91434.0073960625</v>
      </c>
      <c r="E19" s="357" t="n">
        <f aca="false">B19+D19</f>
        <v>91434.0073960625</v>
      </c>
      <c r="F19" s="358" t="n">
        <f aca="false">Projects!$C$21+Projects!$D$21-1</f>
        <v>28</v>
      </c>
      <c r="G19" s="359" t="n">
        <f aca="false">EDATE(DATE(2026,4,1),F19-1)</f>
        <v>46935</v>
      </c>
    </row>
    <row r="20" customFormat="false" ht="15" hidden="false" customHeight="true" outlineLevel="0" collapsed="false">
      <c r="A20" s="177" t="s">
        <v>25</v>
      </c>
      <c r="B20" s="178" t="n">
        <v>0</v>
      </c>
      <c r="C20" s="357" t="n">
        <f aca="false">IF(Projects!$G$22="Yes",Projects!$B$22*(Assumptions!$B$10+Assumptions!$B$11+Assumptions!$B$12),0)</f>
        <v>0</v>
      </c>
      <c r="D20" s="357" t="n">
        <f aca="false">C20*0.05</f>
        <v>0</v>
      </c>
      <c r="E20" s="357" t="n">
        <f aca="false">B20+D20</f>
        <v>0</v>
      </c>
      <c r="F20" s="358" t="n">
        <f aca="false">Projects!$C$22+Projects!$D$22-1</f>
        <v>49</v>
      </c>
      <c r="G20" s="359" t="n">
        <f aca="false">EDATE(DATE(2026,4,1),F20-1)</f>
        <v>47574</v>
      </c>
    </row>
    <row r="21" customFormat="false" ht="15" hidden="false" customHeight="true" outlineLevel="0" collapsed="false">
      <c r="A21" s="177" t="s">
        <v>26</v>
      </c>
      <c r="B21" s="178" t="n">
        <v>0</v>
      </c>
      <c r="C21" s="357" t="n">
        <f aca="false">IF(Projects!$G$23="Yes",Projects!$B$23*(Assumptions!$B$10+Assumptions!$B$11+Assumptions!$B$12),0)</f>
        <v>0</v>
      </c>
      <c r="D21" s="357" t="n">
        <f aca="false">C21*0.05</f>
        <v>0</v>
      </c>
      <c r="E21" s="357" t="n">
        <f aca="false">B21+D21</f>
        <v>0</v>
      </c>
      <c r="F21" s="358" t="n">
        <f aca="false">Projects!$C$23+Projects!$D$23-1</f>
        <v>52</v>
      </c>
      <c r="G21" s="359" t="n">
        <f aca="false">EDATE(DATE(2026,4,1),F21-1)</f>
        <v>47665</v>
      </c>
    </row>
    <row r="22" customFormat="false" ht="15" hidden="false" customHeight="true" outlineLevel="0" collapsed="false">
      <c r="A22" s="177" t="s">
        <v>27</v>
      </c>
      <c r="B22" s="178" t="n">
        <v>0</v>
      </c>
      <c r="C22" s="357" t="n">
        <f aca="false">IF(Projects!$G$24="Yes",Projects!$B$24*(Assumptions!$B$10+Assumptions!$B$11+Assumptions!$B$12),0)</f>
        <v>0</v>
      </c>
      <c r="D22" s="357" t="n">
        <f aca="false">C22*0.05</f>
        <v>0</v>
      </c>
      <c r="E22" s="357" t="n">
        <f aca="false">B22+D22</f>
        <v>0</v>
      </c>
      <c r="F22" s="358" t="n">
        <f aca="false">Projects!$C$24+Projects!$D$24-1</f>
        <v>55</v>
      </c>
      <c r="G22" s="359" t="n">
        <f aca="false">EDATE(DATE(2026,4,1),F22-1)</f>
        <v>47757</v>
      </c>
    </row>
    <row r="23" customFormat="false" ht="15" hidden="false" customHeight="true" outlineLevel="0" collapsed="false">
      <c r="A23" s="177" t="s">
        <v>28</v>
      </c>
      <c r="B23" s="178" t="n">
        <v>0</v>
      </c>
      <c r="C23" s="357" t="n">
        <f aca="false">IF(Projects!$G$25="Yes",Projects!$B$25*(Assumptions!$B$10+Assumptions!$B$11+Assumptions!$B$12),0)</f>
        <v>0</v>
      </c>
      <c r="D23" s="357" t="n">
        <f aca="false">C23*0.05</f>
        <v>0</v>
      </c>
      <c r="E23" s="357" t="n">
        <f aca="false">B23+D23</f>
        <v>0</v>
      </c>
      <c r="F23" s="358" t="n">
        <f aca="false">Projects!$C$25+Projects!$D$25-1</f>
        <v>58</v>
      </c>
      <c r="G23" s="359" t="n">
        <f aca="false">EDATE(DATE(2026,4,1),F23-1)</f>
        <v>47849</v>
      </c>
    </row>
    <row r="24" customFormat="false" ht="15" hidden="false" customHeight="true" outlineLevel="0" collapsed="false">
      <c r="A24" s="177" t="s">
        <v>29</v>
      </c>
      <c r="B24" s="178" t="n">
        <v>0</v>
      </c>
      <c r="C24" s="357" t="n">
        <f aca="false">IF(Projects!$G$26="Yes",Projects!$B$26*(Assumptions!$B$10+Assumptions!$B$11+Assumptions!$B$12),0)</f>
        <v>0</v>
      </c>
      <c r="D24" s="357" t="n">
        <f aca="false">C24*0.05</f>
        <v>0</v>
      </c>
      <c r="E24" s="357" t="n">
        <f aca="false">B24+D24</f>
        <v>0</v>
      </c>
      <c r="F24" s="358" t="n">
        <f aca="false">Projects!$C$26+Projects!$D$26-1</f>
        <v>60</v>
      </c>
      <c r="G24" s="359" t="n">
        <f aca="false">EDATE(DATE(2026,4,1),F24-1)</f>
        <v>47908</v>
      </c>
    </row>
    <row r="25" customFormat="false" ht="15" hidden="false" customHeight="true" outlineLevel="0" collapsed="false">
      <c r="A25" s="177" t="s">
        <v>30</v>
      </c>
      <c r="B25" s="178" t="n">
        <v>0</v>
      </c>
      <c r="C25" s="357" t="n">
        <f aca="false">IF(Projects!$G$27="Yes",Projects!$B$27*(Assumptions!$B$10+Assumptions!$B$11+Assumptions!$B$12),0)</f>
        <v>0</v>
      </c>
      <c r="D25" s="357" t="n">
        <f aca="false">C25*0.05</f>
        <v>0</v>
      </c>
      <c r="E25" s="357" t="n">
        <f aca="false">B25+D25</f>
        <v>0</v>
      </c>
      <c r="F25" s="358" t="n">
        <f aca="false">Projects!$C$27+Projects!$D$27-1</f>
        <v>62</v>
      </c>
      <c r="G25" s="359" t="n">
        <f aca="false">EDATE(DATE(2026,4,1),F25-1)</f>
        <v>47969</v>
      </c>
    </row>
    <row r="26" customFormat="false" ht="15" hidden="false" customHeight="true" outlineLevel="0" collapsed="false">
      <c r="A26" s="177" t="s">
        <v>31</v>
      </c>
      <c r="B26" s="178" t="n">
        <v>0</v>
      </c>
      <c r="C26" s="357" t="n">
        <f aca="false">IF(Projects!$G$28="Yes",Projects!$B$28*(Assumptions!$B$10+Assumptions!$B$11+Assumptions!$B$12),0)</f>
        <v>0</v>
      </c>
      <c r="D26" s="357" t="n">
        <f aca="false">C26*0.05</f>
        <v>0</v>
      </c>
      <c r="E26" s="357" t="n">
        <f aca="false">B26+D26</f>
        <v>0</v>
      </c>
      <c r="F26" s="358" t="n">
        <f aca="false">Projects!$C$28+Projects!$D$28-1</f>
        <v>64</v>
      </c>
      <c r="G26" s="359" t="n">
        <f aca="false">EDATE(DATE(2026,4,1),F26-1)</f>
        <v>48030</v>
      </c>
    </row>
    <row r="27" customFormat="false" ht="15" hidden="false" customHeight="true" outlineLevel="0" collapsed="false">
      <c r="A27" s="177" t="s">
        <v>32</v>
      </c>
      <c r="B27" s="178" t="n">
        <v>0</v>
      </c>
      <c r="C27" s="357" t="n">
        <f aca="false">IF(Projects!$G$29="Yes",Projects!$B$29*(Assumptions!$B$10+Assumptions!$B$11+Assumptions!$B$12),0)</f>
        <v>0</v>
      </c>
      <c r="D27" s="357" t="n">
        <f aca="false">C27*0.05</f>
        <v>0</v>
      </c>
      <c r="E27" s="357" t="n">
        <f aca="false">B27+D27</f>
        <v>0</v>
      </c>
      <c r="F27" s="358" t="n">
        <f aca="false">Projects!$C$29+Projects!$D$29-1</f>
        <v>66</v>
      </c>
      <c r="G27" s="359" t="n">
        <f aca="false">EDATE(DATE(2026,4,1),F27-1)</f>
        <v>48092</v>
      </c>
    </row>
    <row r="28" customFormat="false" ht="15" hidden="false" customHeight="true" outlineLevel="0" collapsed="false">
      <c r="A28" s="177" t="s">
        <v>33</v>
      </c>
      <c r="B28" s="178" t="n">
        <v>0</v>
      </c>
      <c r="C28" s="357" t="n">
        <f aca="false">IF(Projects!$G$30="Yes",Projects!$B$30*(Assumptions!$B$10+Assumptions!$B$11+Assumptions!$B$12),0)</f>
        <v>0</v>
      </c>
      <c r="D28" s="357" t="n">
        <f aca="false">C28*0.05</f>
        <v>0</v>
      </c>
      <c r="E28" s="357" t="n">
        <f aca="false">B28+D28</f>
        <v>0</v>
      </c>
      <c r="F28" s="358" t="n">
        <f aca="false">Projects!$C$30+Projects!$D$30-1</f>
        <v>68</v>
      </c>
      <c r="G28" s="359" t="n">
        <f aca="false">EDATE(DATE(2026,4,1),F28-1)</f>
        <v>48153</v>
      </c>
    </row>
    <row r="29" customFormat="false" ht="15" hidden="false" customHeight="true" outlineLevel="0" collapsed="false">
      <c r="A29" s="177" t="s">
        <v>34</v>
      </c>
      <c r="B29" s="178" t="n">
        <v>0</v>
      </c>
      <c r="C29" s="357" t="n">
        <f aca="false">IF(Projects!$G$31="Yes",Projects!$B$31*(Assumptions!$B$10+Assumptions!$B$11+Assumptions!$B$12),0)</f>
        <v>0</v>
      </c>
      <c r="D29" s="357" t="n">
        <f aca="false">C29*0.05</f>
        <v>0</v>
      </c>
      <c r="E29" s="357" t="n">
        <f aca="false">B29+D29</f>
        <v>0</v>
      </c>
      <c r="F29" s="358" t="n">
        <f aca="false">Projects!$C$31+Projects!$D$31-1</f>
        <v>70</v>
      </c>
      <c r="G29" s="359" t="n">
        <f aca="false">EDATE(DATE(2026,4,1),F29-1)</f>
        <v>48214</v>
      </c>
    </row>
    <row r="30" customFormat="false" ht="15" hidden="false" customHeight="true" outlineLevel="0" collapsed="false">
      <c r="A30" s="177" t="s">
        <v>35</v>
      </c>
      <c r="B30" s="178" t="n">
        <v>0</v>
      </c>
      <c r="C30" s="357" t="n">
        <f aca="false">IF(Projects!$G$32="Yes",Projects!$B$32*(Assumptions!$B$10+Assumptions!$B$11+Assumptions!$B$12),0)</f>
        <v>0</v>
      </c>
      <c r="D30" s="357" t="n">
        <f aca="false">C30*0.05</f>
        <v>0</v>
      </c>
      <c r="E30" s="357" t="n">
        <f aca="false">B30+D30</f>
        <v>0</v>
      </c>
      <c r="F30" s="358" t="n">
        <f aca="false">Projects!$C$32+Projects!$D$32-1</f>
        <v>72</v>
      </c>
      <c r="G30" s="359" t="n">
        <f aca="false">EDATE(DATE(2026,4,1),F30-1)</f>
        <v>48274</v>
      </c>
    </row>
    <row r="31" customFormat="false" ht="15" hidden="false" customHeight="true" outlineLevel="0" collapsed="false">
      <c r="A31" s="177" t="s">
        <v>36</v>
      </c>
      <c r="B31" s="178" t="n">
        <v>0</v>
      </c>
      <c r="C31" s="357" t="n">
        <f aca="false">IF(Projects!$G$33="Yes",Projects!$B$33*(Assumptions!$B$10+Assumptions!$B$11+Assumptions!$B$12),0)</f>
        <v>0</v>
      </c>
      <c r="D31" s="357" t="n">
        <f aca="false">C31*0.05</f>
        <v>0</v>
      </c>
      <c r="E31" s="357" t="n">
        <f aca="false">B31+D31</f>
        <v>0</v>
      </c>
      <c r="F31" s="358" t="n">
        <f aca="false">Projects!$C$33+Projects!$D$33-1</f>
        <v>74</v>
      </c>
      <c r="G31" s="359" t="n">
        <f aca="false">EDATE(DATE(2026,4,1),F31-1)</f>
        <v>48335</v>
      </c>
    </row>
    <row r="32" customFormat="false" ht="15" hidden="false" customHeight="true" outlineLevel="0" collapsed="false">
      <c r="A32" s="177" t="s">
        <v>37</v>
      </c>
      <c r="B32" s="178" t="n">
        <v>0</v>
      </c>
      <c r="C32" s="357" t="n">
        <f aca="false">IF(Projects!$G$34="Yes",Projects!$B$34*(Assumptions!$B$10+Assumptions!$B$11+Assumptions!$B$12),0)</f>
        <v>0</v>
      </c>
      <c r="D32" s="357" t="n">
        <f aca="false">C32*0.05</f>
        <v>0</v>
      </c>
      <c r="E32" s="357" t="n">
        <f aca="false">B32+D32</f>
        <v>0</v>
      </c>
      <c r="F32" s="358" t="n">
        <f aca="false">Projects!$C$34+Projects!$D$34-1</f>
        <v>76</v>
      </c>
      <c r="G32" s="359" t="n">
        <f aca="false">EDATE(DATE(2026,4,1),F32-1)</f>
        <v>48396</v>
      </c>
    </row>
    <row r="33" customFormat="false" ht="15" hidden="false" customHeight="true" outlineLevel="0" collapsed="false">
      <c r="A33" s="177" t="s">
        <v>38</v>
      </c>
      <c r="B33" s="178" t="n">
        <v>0</v>
      </c>
      <c r="C33" s="357" t="n">
        <f aca="false">IF(Projects!$G$35="Yes",Projects!$B$35*(Assumptions!$B$10+Assumptions!$B$11+Assumptions!$B$12),0)</f>
        <v>0</v>
      </c>
      <c r="D33" s="357" t="n">
        <f aca="false">C33*0.05</f>
        <v>0</v>
      </c>
      <c r="E33" s="357" t="n">
        <f aca="false">B33+D33</f>
        <v>0</v>
      </c>
      <c r="F33" s="358" t="n">
        <f aca="false">Projects!$C$35+Projects!$D$35-1</f>
        <v>78</v>
      </c>
      <c r="G33" s="359" t="n">
        <f aca="false">EDATE(DATE(2026,4,1),F33-1)</f>
        <v>48458</v>
      </c>
    </row>
    <row r="34" customFormat="false" ht="15" hidden="false" customHeight="true" outlineLevel="0" collapsed="false">
      <c r="A34" s="177" t="s">
        <v>39</v>
      </c>
      <c r="B34" s="178" t="n">
        <v>0</v>
      </c>
      <c r="C34" s="357" t="n">
        <f aca="false">IF(Projects!$G$36="Yes",Projects!$B$36*(Assumptions!$B$10+Assumptions!$B$11+Assumptions!$B$12),0)</f>
        <v>0</v>
      </c>
      <c r="D34" s="357" t="n">
        <f aca="false">C34*0.05</f>
        <v>0</v>
      </c>
      <c r="E34" s="357" t="n">
        <f aca="false">B34+D34</f>
        <v>0</v>
      </c>
      <c r="F34" s="358" t="n">
        <f aca="false">Projects!$C$36+Projects!$D$36-1</f>
        <v>80</v>
      </c>
      <c r="G34" s="359" t="n">
        <f aca="false">EDATE(DATE(2026,4,1),F34-1)</f>
        <v>48519</v>
      </c>
    </row>
    <row r="35" customFormat="false" ht="15" hidden="false" customHeight="true" outlineLevel="0" collapsed="false">
      <c r="A35" s="177" t="s">
        <v>40</v>
      </c>
      <c r="B35" s="178" t="n">
        <v>0</v>
      </c>
      <c r="C35" s="357" t="n">
        <f aca="false">IF(Projects!$G$37="Yes",Projects!$B$37*(Assumptions!$B$10+Assumptions!$B$11+Assumptions!$B$12),0)</f>
        <v>0</v>
      </c>
      <c r="D35" s="357" t="n">
        <f aca="false">C35*0.05</f>
        <v>0</v>
      </c>
      <c r="E35" s="357" t="n">
        <f aca="false">B35+D35</f>
        <v>0</v>
      </c>
      <c r="F35" s="358" t="n">
        <f aca="false">Projects!$C$37+Projects!$D$37-1</f>
        <v>82</v>
      </c>
      <c r="G35" s="359" t="n">
        <f aca="false">EDATE(DATE(2026,4,1),F35-1)</f>
        <v>48580</v>
      </c>
    </row>
    <row r="36" customFormat="false" ht="15" hidden="false" customHeight="true" outlineLevel="0" collapsed="false">
      <c r="A36" s="177" t="s">
        <v>41</v>
      </c>
      <c r="B36" s="178" t="n">
        <v>0</v>
      </c>
      <c r="C36" s="357" t="n">
        <f aca="false">IF(Projects!$G$38="Yes",Projects!$B$38*(Assumptions!$B$10+Assumptions!$B$11+Assumptions!$B$12),0)</f>
        <v>0</v>
      </c>
      <c r="D36" s="357" t="n">
        <f aca="false">C36*0.05</f>
        <v>0</v>
      </c>
      <c r="E36" s="357" t="n">
        <f aca="false">B36+D36</f>
        <v>0</v>
      </c>
      <c r="F36" s="358" t="n">
        <f aca="false">Projects!$C$38+Projects!$D$38-1</f>
        <v>84</v>
      </c>
      <c r="G36" s="359" t="n">
        <f aca="false">EDATE(DATE(2026,4,1),F36-1)</f>
        <v>48639</v>
      </c>
    </row>
    <row r="37" customFormat="false" ht="15" hidden="false" customHeight="true" outlineLevel="0" collapsed="false">
      <c r="A37" s="177" t="s">
        <v>42</v>
      </c>
      <c r="B37" s="178" t="n">
        <v>0</v>
      </c>
      <c r="C37" s="357" t="n">
        <f aca="false">IF(Projects!$G$39="Yes",Projects!$B$39*(Assumptions!$B$10+Assumptions!$B$11+Assumptions!$B$12),0)</f>
        <v>0</v>
      </c>
      <c r="D37" s="357" t="n">
        <f aca="false">C37*0.05</f>
        <v>0</v>
      </c>
      <c r="E37" s="357" t="n">
        <f aca="false">B37+D37</f>
        <v>0</v>
      </c>
      <c r="F37" s="358" t="n">
        <f aca="false">Projects!$C$39+Projects!$D$39-1</f>
        <v>86</v>
      </c>
      <c r="G37" s="359" t="n">
        <f aca="false">EDATE(DATE(2026,4,1),F37-1)</f>
        <v>48700</v>
      </c>
    </row>
    <row r="38" customFormat="false" ht="15" hidden="false" customHeight="true" outlineLevel="0" collapsed="false">
      <c r="A38" s="177" t="s">
        <v>43</v>
      </c>
      <c r="B38" s="178" t="n">
        <v>0</v>
      </c>
      <c r="C38" s="357" t="n">
        <f aca="false">IF(Projects!$G$40="Yes",Projects!$B$40*(Assumptions!$B$10+Assumptions!$B$11+Assumptions!$B$12),0)</f>
        <v>0</v>
      </c>
      <c r="D38" s="357" t="n">
        <f aca="false">C38*0.05</f>
        <v>0</v>
      </c>
      <c r="E38" s="357" t="n">
        <f aca="false">B38+D38</f>
        <v>0</v>
      </c>
      <c r="F38" s="358" t="n">
        <f aca="false">Projects!$C$40+Projects!$D$40-1</f>
        <v>88</v>
      </c>
      <c r="G38" s="359" t="n">
        <f aca="false">EDATE(DATE(2026,4,1),F38-1)</f>
        <v>48761</v>
      </c>
    </row>
    <row r="39" customFormat="false" ht="15" hidden="false" customHeight="true" outlineLevel="0" collapsed="false">
      <c r="A39" s="177" t="s">
        <v>44</v>
      </c>
      <c r="B39" s="178" t="n">
        <v>0</v>
      </c>
      <c r="C39" s="357" t="n">
        <f aca="false">IF(Projects!$G$41="Yes",Projects!$B$41*(Assumptions!$B$10+Assumptions!$B$11+Assumptions!$B$12),0)</f>
        <v>0</v>
      </c>
      <c r="D39" s="357" t="n">
        <f aca="false">C39*0.05</f>
        <v>0</v>
      </c>
      <c r="E39" s="357" t="n">
        <f aca="false">B39+D39</f>
        <v>0</v>
      </c>
      <c r="F39" s="358" t="n">
        <f aca="false">Projects!$C$41+Projects!$D$41-1</f>
        <v>90</v>
      </c>
      <c r="G39" s="359" t="n">
        <f aca="false">EDATE(DATE(2026,4,1),F39-1)</f>
        <v>48823</v>
      </c>
    </row>
    <row r="40" customFormat="false" ht="15" hidden="false" customHeight="true" outlineLevel="0" collapsed="false">
      <c r="A40" s="177" t="s">
        <v>45</v>
      </c>
      <c r="B40" s="178" t="n">
        <v>0</v>
      </c>
      <c r="C40" s="357" t="n">
        <f aca="false">IF(Projects!$G$42="Yes",Projects!$B$42*(Assumptions!$B$10+Assumptions!$B$11+Assumptions!$B$12),0)</f>
        <v>0</v>
      </c>
      <c r="D40" s="357" t="n">
        <f aca="false">C40*0.05</f>
        <v>0</v>
      </c>
      <c r="E40" s="357" t="n">
        <f aca="false">B40+D40</f>
        <v>0</v>
      </c>
      <c r="F40" s="358" t="n">
        <f aca="false">Projects!$C$42+Projects!$D$42-1</f>
        <v>92</v>
      </c>
      <c r="G40" s="359" t="n">
        <f aca="false">EDATE(DATE(2026,4,1),F40-1)</f>
        <v>48884</v>
      </c>
    </row>
    <row r="41" customFormat="false" ht="15" hidden="false" customHeight="true" outlineLevel="0" collapsed="false">
      <c r="A41" s="177" t="s">
        <v>46</v>
      </c>
      <c r="B41" s="178" t="n">
        <v>0</v>
      </c>
      <c r="C41" s="357" t="n">
        <f aca="false">IF(Projects!$G$43="Yes",Projects!$B$43*(Assumptions!$B$10+Assumptions!$B$11+Assumptions!$B$12),0)</f>
        <v>0</v>
      </c>
      <c r="D41" s="357" t="n">
        <f aca="false">C41*0.05</f>
        <v>0</v>
      </c>
      <c r="E41" s="357" t="n">
        <f aca="false">B41+D41</f>
        <v>0</v>
      </c>
      <c r="F41" s="358" t="n">
        <f aca="false">Projects!$C$43+Projects!$D$43-1</f>
        <v>94</v>
      </c>
      <c r="G41" s="359" t="n">
        <f aca="false">EDATE(DATE(2026,4,1),F41-1)</f>
        <v>48945</v>
      </c>
    </row>
    <row r="42" customFormat="false" ht="15" hidden="false" customHeight="true" outlineLevel="0" collapsed="false">
      <c r="A42" s="177" t="s">
        <v>47</v>
      </c>
      <c r="B42" s="178" t="n">
        <v>0</v>
      </c>
      <c r="C42" s="357" t="n">
        <f aca="false">IF(Projects!$G$44="Yes",Projects!$B$44*(Assumptions!$B$10+Assumptions!$B$11+Assumptions!$B$12),0)</f>
        <v>0</v>
      </c>
      <c r="D42" s="357" t="n">
        <f aca="false">C42*0.05</f>
        <v>0</v>
      </c>
      <c r="E42" s="357" t="n">
        <f aca="false">B42+D42</f>
        <v>0</v>
      </c>
      <c r="F42" s="358" t="n">
        <f aca="false">Projects!$C$44+Projects!$D$44-1</f>
        <v>96</v>
      </c>
      <c r="G42" s="359" t="n">
        <f aca="false">EDATE(DATE(2026,4,1),F42-1)</f>
        <v>49004</v>
      </c>
    </row>
    <row r="43" customFormat="false" ht="15" hidden="false" customHeight="true" outlineLevel="0" collapsed="false">
      <c r="A43" s="177" t="s">
        <v>48</v>
      </c>
      <c r="B43" s="178" t="n">
        <v>0</v>
      </c>
      <c r="C43" s="357" t="n">
        <f aca="false">IF(Projects!$G$45="Yes",Projects!$B$45*(Assumptions!$B$10+Assumptions!$B$11+Assumptions!$B$12),0)</f>
        <v>0</v>
      </c>
      <c r="D43" s="357" t="n">
        <f aca="false">C43*0.05</f>
        <v>0</v>
      </c>
      <c r="E43" s="357" t="n">
        <f aca="false">B43+D43</f>
        <v>0</v>
      </c>
      <c r="F43" s="358" t="n">
        <f aca="false">Projects!$C$45+Projects!$D$45-1</f>
        <v>98</v>
      </c>
      <c r="G43" s="359" t="n">
        <f aca="false">EDATE(DATE(2026,4,1),F43-1)</f>
        <v>49065</v>
      </c>
    </row>
    <row r="44" customFormat="false" ht="15" hidden="false" customHeight="true" outlineLevel="0" collapsed="false">
      <c r="A44" s="177" t="s">
        <v>49</v>
      </c>
      <c r="B44" s="178" t="n">
        <v>0</v>
      </c>
      <c r="C44" s="357" t="n">
        <f aca="false">IF(Projects!$G$46="Yes",Projects!$B$46*(Assumptions!$B$10+Assumptions!$B$11+Assumptions!$B$12),0)</f>
        <v>0</v>
      </c>
      <c r="D44" s="357" t="n">
        <f aca="false">C44*0.05</f>
        <v>0</v>
      </c>
      <c r="E44" s="357" t="n">
        <f aca="false">B44+D44</f>
        <v>0</v>
      </c>
      <c r="F44" s="358" t="n">
        <f aca="false">Projects!$C$46+Projects!$D$46-1</f>
        <v>100</v>
      </c>
      <c r="G44" s="359"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1235</v>
      </c>
    </row>
    <row r="2" customFormat="false" ht="15" hidden="false" customHeight="true" outlineLevel="0" collapsed="false">
      <c r="A2" s="72" t="s">
        <v>1236</v>
      </c>
    </row>
    <row r="4" customFormat="false" ht="15" hidden="false" customHeight="true" outlineLevel="0" collapsed="false">
      <c r="A4" s="23" t="s">
        <v>1237</v>
      </c>
      <c r="B4" s="23"/>
      <c r="C4" s="23"/>
    </row>
    <row r="5" customFormat="false" ht="15" hidden="false" customHeight="true" outlineLevel="0" collapsed="false">
      <c r="A5" s="177" t="s">
        <v>1238</v>
      </c>
      <c r="B5" s="178" t="n">
        <v>180000</v>
      </c>
      <c r="C5" s="72" t="s">
        <v>1239</v>
      </c>
    </row>
    <row r="6" customFormat="false" ht="15" hidden="false" customHeight="true" outlineLevel="0" collapsed="false">
      <c r="A6" s="177" t="s">
        <v>1240</v>
      </c>
      <c r="B6" s="360" t="n">
        <v>1</v>
      </c>
      <c r="C6" s="72" t="s">
        <v>493</v>
      </c>
    </row>
    <row r="7" customFormat="false" ht="15" hidden="false" customHeight="true" outlineLevel="0" collapsed="false">
      <c r="A7" s="177" t="s">
        <v>1241</v>
      </c>
      <c r="B7" s="360" t="n">
        <v>7</v>
      </c>
      <c r="C7" s="72" t="s">
        <v>1242</v>
      </c>
    </row>
    <row r="8" customFormat="false" ht="15" hidden="false" customHeight="true" outlineLevel="0" collapsed="false">
      <c r="A8" s="177" t="s">
        <v>1243</v>
      </c>
      <c r="B8" s="357" t="n">
        <f aca="false">B5/B7</f>
        <v>25714.2857142857</v>
      </c>
      <c r="C8" s="72" t="s">
        <v>1244</v>
      </c>
    </row>
    <row r="9" customFormat="false" ht="15" hidden="false" customHeight="true" outlineLevel="0" collapsed="false">
      <c r="A9" s="177" t="s">
        <v>1245</v>
      </c>
      <c r="B9" s="178" t="n">
        <v>2500</v>
      </c>
      <c r="C9" s="72" t="s">
        <v>1246</v>
      </c>
    </row>
    <row r="10" customFormat="false" ht="15" hidden="false" customHeight="true" outlineLevel="0" collapsed="false">
      <c r="A10" s="177" t="s">
        <v>1247</v>
      </c>
      <c r="B10" s="360" t="n">
        <v>9</v>
      </c>
      <c r="C10" s="72" t="s">
        <v>1248</v>
      </c>
    </row>
    <row r="11" customFormat="false" ht="15" hidden="false" customHeight="true" outlineLevel="0" collapsed="false">
      <c r="A11" s="177" t="s">
        <v>1249</v>
      </c>
      <c r="B11" s="360" t="n">
        <v>30</v>
      </c>
      <c r="C11" s="72" t="s">
        <v>1250</v>
      </c>
    </row>
    <row r="12" customFormat="false" ht="15" hidden="false" customHeight="true" outlineLevel="0" collapsed="false">
      <c r="A12" s="177" t="s">
        <v>1251</v>
      </c>
      <c r="B12" s="178" t="n">
        <v>2694</v>
      </c>
      <c r="C12" s="72" t="s">
        <v>1252</v>
      </c>
    </row>
    <row r="13" customFormat="false" ht="15" hidden="false" customHeight="true" outlineLevel="0" collapsed="false">
      <c r="A13" s="177" t="s">
        <v>1253</v>
      </c>
      <c r="B13" s="360" t="n">
        <v>2</v>
      </c>
      <c r="C13" s="72" t="s">
        <v>494</v>
      </c>
    </row>
    <row r="14" customFormat="false" ht="15" hidden="false" customHeight="true" outlineLevel="0" collapsed="false">
      <c r="A14" s="177" t="s">
        <v>1254</v>
      </c>
      <c r="B14" s="360" t="n">
        <v>15</v>
      </c>
      <c r="C14" s="72" t="s">
        <v>1255</v>
      </c>
    </row>
    <row r="15" customFormat="false" ht="15" hidden="false" customHeight="true" outlineLevel="0" collapsed="false">
      <c r="A15" s="177" t="s">
        <v>1256</v>
      </c>
      <c r="B15" s="178" t="n">
        <v>2500</v>
      </c>
      <c r="C15" s="72" t="s">
        <v>1257</v>
      </c>
    </row>
    <row r="16" customFormat="false" ht="15" hidden="false" customHeight="true" outlineLevel="0" collapsed="false">
      <c r="A16" s="177" t="s">
        <v>1258</v>
      </c>
      <c r="B16" s="360" t="n">
        <v>2</v>
      </c>
      <c r="C16" s="72" t="s">
        <v>494</v>
      </c>
    </row>
    <row r="17" customFormat="false" ht="15" hidden="false" customHeight="true" outlineLevel="0" collapsed="false">
      <c r="A17" s="177" t="s">
        <v>1259</v>
      </c>
      <c r="B17" s="360" t="n">
        <v>30</v>
      </c>
      <c r="C17" s="72" t="s">
        <v>1260</v>
      </c>
    </row>
    <row r="18" customFormat="false" ht="15" hidden="false" customHeight="true" outlineLevel="0" collapsed="false">
      <c r="A18" s="177" t="s">
        <v>1261</v>
      </c>
      <c r="B18" s="178" t="n">
        <v>7500</v>
      </c>
      <c r="C18" s="72" t="s">
        <v>1262</v>
      </c>
    </row>
    <row r="19" customFormat="false" ht="15" hidden="false" customHeight="true" outlineLevel="0" collapsed="false">
      <c r="A19" s="177" t="s">
        <v>1263</v>
      </c>
      <c r="B19" s="360" t="n">
        <v>2</v>
      </c>
      <c r="C19" s="72" t="s">
        <v>494</v>
      </c>
    </row>
    <row r="20" customFormat="false" ht="15" hidden="false" customHeight="true" outlineLevel="0" collapsed="false">
      <c r="A20" s="177" t="s">
        <v>1264</v>
      </c>
      <c r="B20" s="178" t="n">
        <v>32000</v>
      </c>
      <c r="C20" s="72" t="s">
        <v>1265</v>
      </c>
    </row>
    <row r="21" customFormat="false" ht="15" hidden="false" customHeight="true" outlineLevel="0" collapsed="false">
      <c r="A21" s="177" t="s">
        <v>1266</v>
      </c>
      <c r="B21" s="178" t="n">
        <v>600000</v>
      </c>
      <c r="C21" s="72" t="s">
        <v>1267</v>
      </c>
    </row>
    <row r="22" customFormat="false" ht="15" hidden="false" customHeight="true" outlineLevel="0" collapsed="false">
      <c r="A22" s="177" t="s">
        <v>1268</v>
      </c>
      <c r="B22" s="360" t="n">
        <v>7</v>
      </c>
      <c r="C22" s="72" t="s">
        <v>1269</v>
      </c>
    </row>
    <row r="23" customFormat="false" ht="15" hidden="false" customHeight="true" outlineLevel="0" collapsed="false">
      <c r="A23" s="177" t="s">
        <v>1270</v>
      </c>
      <c r="B23" s="360" t="n">
        <v>12</v>
      </c>
      <c r="C23" s="72" t="s">
        <v>1271</v>
      </c>
    </row>
    <row r="24" customFormat="false" ht="15" hidden="false" customHeight="true" outlineLevel="0" collapsed="false">
      <c r="A24" s="177" t="s">
        <v>1272</v>
      </c>
      <c r="B24" s="357" t="n">
        <f aca="false">B21/B23</f>
        <v>50000</v>
      </c>
      <c r="C24" s="72" t="s">
        <v>1244</v>
      </c>
    </row>
    <row r="25" customFormat="false" ht="15" hidden="false" customHeight="true" outlineLevel="0" collapsed="false">
      <c r="A25" s="177" t="s">
        <v>1273</v>
      </c>
      <c r="B25" s="178" t="n">
        <v>2500</v>
      </c>
      <c r="C25" s="72" t="s">
        <v>1267</v>
      </c>
    </row>
    <row r="26" customFormat="false" ht="15" hidden="false" customHeight="true" outlineLevel="0" collapsed="false">
      <c r="A26" s="177" t="s">
        <v>1274</v>
      </c>
      <c r="B26" s="360" t="n">
        <v>22</v>
      </c>
      <c r="C26" s="72" t="s">
        <v>1275</v>
      </c>
    </row>
    <row r="27" customFormat="false" ht="15" hidden="false" customHeight="true" outlineLevel="0" collapsed="false">
      <c r="A27" s="177" t="s">
        <v>1276</v>
      </c>
      <c r="B27" s="360" t="n">
        <v>30</v>
      </c>
      <c r="C27" s="72" t="s">
        <v>1277</v>
      </c>
    </row>
    <row r="28" customFormat="false" ht="15" hidden="false" customHeight="true" outlineLevel="0" collapsed="false">
      <c r="A28" s="23" t="s">
        <v>1278</v>
      </c>
      <c r="B28" s="23"/>
      <c r="C28" s="23"/>
    </row>
    <row r="29" customFormat="false" ht="15" hidden="false" customHeight="true" outlineLevel="0" collapsed="false">
      <c r="A29" s="177" t="s">
        <v>1279</v>
      </c>
      <c r="B29" s="178" t="n">
        <v>12500</v>
      </c>
      <c r="C29" s="72" t="s">
        <v>1280</v>
      </c>
    </row>
    <row r="30" customFormat="false" ht="15" hidden="false" customHeight="true" outlineLevel="0" collapsed="false">
      <c r="A30" s="177" t="s">
        <v>1281</v>
      </c>
      <c r="B30" s="360" t="n">
        <v>18750</v>
      </c>
      <c r="C30" s="72" t="s">
        <v>1282</v>
      </c>
    </row>
    <row r="31" customFormat="false" ht="15" hidden="false" customHeight="true" outlineLevel="0" collapsed="false">
      <c r="A31" s="177" t="s">
        <v>1283</v>
      </c>
      <c r="B31" s="358" t="n">
        <f aca="false">B22</f>
        <v>7</v>
      </c>
      <c r="C31" s="72" t="s">
        <v>1284</v>
      </c>
    </row>
    <row r="32" customFormat="false" ht="15" hidden="false" customHeight="true" outlineLevel="0" collapsed="false">
      <c r="A32" s="177" t="s">
        <v>1285</v>
      </c>
      <c r="B32" s="178" t="n">
        <v>365</v>
      </c>
      <c r="C32" s="72" t="s">
        <v>1286</v>
      </c>
    </row>
    <row r="33" customFormat="false" ht="15" hidden="false" customHeight="true" outlineLevel="0" collapsed="false">
      <c r="A33" s="177" t="s">
        <v>1287</v>
      </c>
      <c r="B33" s="178" t="n">
        <v>8000</v>
      </c>
      <c r="C33" s="72" t="s">
        <v>1288</v>
      </c>
    </row>
    <row r="34" customFormat="false" ht="15" hidden="false" customHeight="true" outlineLevel="0" collapsed="false">
      <c r="A34" s="177" t="s">
        <v>1289</v>
      </c>
      <c r="B34" s="360" t="n">
        <v>5000</v>
      </c>
      <c r="C34" s="72" t="s">
        <v>1290</v>
      </c>
    </row>
    <row r="35" customFormat="false" ht="15" hidden="false" customHeight="true" outlineLevel="0" collapsed="false">
      <c r="A35" s="177" t="s">
        <v>1291</v>
      </c>
      <c r="B35" s="360" t="n">
        <v>2500</v>
      </c>
      <c r="C35" s="72" t="s">
        <v>1292</v>
      </c>
    </row>
    <row r="36" customFormat="false" ht="15" hidden="false" customHeight="true" outlineLevel="0" collapsed="false">
      <c r="A36" s="177" t="s">
        <v>1293</v>
      </c>
      <c r="B36" s="360" t="n">
        <v>2</v>
      </c>
      <c r="C36" s="72" t="s">
        <v>494</v>
      </c>
    </row>
    <row r="38" customFormat="false" ht="13.5" hidden="false" customHeight="true" outlineLevel="0" collapsed="false">
      <c r="A38" s="23" t="s">
        <v>1294</v>
      </c>
    </row>
    <row r="39" customFormat="false" ht="13.5" hidden="false" customHeight="true" outlineLevel="0" collapsed="false">
      <c r="A39" s="177" t="s">
        <v>1295</v>
      </c>
      <c r="B39" s="361" t="n">
        <v>0.6</v>
      </c>
      <c r="C39" s="72" t="s">
        <v>1296</v>
      </c>
    </row>
    <row r="40" customFormat="false" ht="13.5" hidden="false" customHeight="true" outlineLevel="0" collapsed="false">
      <c r="A40" s="177" t="s">
        <v>1297</v>
      </c>
      <c r="B40" s="178" t="n">
        <v>10</v>
      </c>
      <c r="C40" s="72" t="s">
        <v>1298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1299</v>
      </c>
    </row>
    <row r="3" customFormat="false" ht="15" hidden="false" customHeight="true" outlineLevel="0" collapsed="false">
      <c r="A3" s="49" t="s">
        <v>1</v>
      </c>
      <c r="B3" s="362" t="n">
        <v>1</v>
      </c>
      <c r="C3" s="362" t="n">
        <v>2</v>
      </c>
      <c r="D3" s="362" t="n">
        <v>3</v>
      </c>
      <c r="E3" s="362" t="n">
        <v>4</v>
      </c>
      <c r="F3" s="362" t="n">
        <v>5</v>
      </c>
      <c r="G3" s="362" t="n">
        <v>6</v>
      </c>
      <c r="H3" s="362" t="n">
        <v>7</v>
      </c>
      <c r="I3" s="362" t="n">
        <v>8</v>
      </c>
      <c r="J3" s="362" t="n">
        <v>9</v>
      </c>
      <c r="K3" s="362" t="n">
        <v>10</v>
      </c>
      <c r="L3" s="362" t="n">
        <v>11</v>
      </c>
      <c r="M3" s="362" t="n">
        <v>12</v>
      </c>
      <c r="N3" s="362" t="n">
        <v>13</v>
      </c>
      <c r="O3" s="362" t="n">
        <v>14</v>
      </c>
      <c r="P3" s="362" t="n">
        <v>15</v>
      </c>
      <c r="Q3" s="362" t="n">
        <v>16</v>
      </c>
      <c r="R3" s="362" t="n">
        <v>17</v>
      </c>
      <c r="S3" s="362" t="n">
        <v>18</v>
      </c>
      <c r="T3" s="362" t="n">
        <v>19</v>
      </c>
      <c r="U3" s="362" t="n">
        <v>20</v>
      </c>
      <c r="V3" s="362" t="n">
        <v>21</v>
      </c>
      <c r="W3" s="362" t="n">
        <v>22</v>
      </c>
      <c r="X3" s="362" t="n">
        <v>23</v>
      </c>
      <c r="Y3" s="362" t="n">
        <v>24</v>
      </c>
      <c r="Z3" s="362" t="n">
        <v>25</v>
      </c>
      <c r="AA3" s="362" t="n">
        <v>26</v>
      </c>
      <c r="AB3" s="362" t="n">
        <v>27</v>
      </c>
      <c r="AC3" s="362" t="n">
        <v>28</v>
      </c>
      <c r="AD3" s="362" t="n">
        <v>29</v>
      </c>
      <c r="AE3" s="362" t="n">
        <v>30</v>
      </c>
      <c r="AF3" s="362" t="n">
        <v>31</v>
      </c>
      <c r="AG3" s="362" t="n">
        <v>32</v>
      </c>
      <c r="AH3" s="362" t="n">
        <v>33</v>
      </c>
      <c r="AI3" s="362" t="n">
        <v>34</v>
      </c>
      <c r="AJ3" s="362" t="n">
        <v>35</v>
      </c>
      <c r="AK3" s="362" t="n">
        <v>36</v>
      </c>
      <c r="AL3" s="362" t="n">
        <v>37</v>
      </c>
      <c r="AM3" s="362" t="n">
        <v>38</v>
      </c>
      <c r="AN3" s="362"/>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476</v>
      </c>
    </row>
    <row r="6" customFormat="false" ht="15" hidden="false" customHeight="true" outlineLevel="0" collapsed="false">
      <c r="A6" s="23" t="s">
        <v>1237</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1300</v>
      </c>
      <c r="B7" s="357" t="n">
        <f aca="false">IF(AND(B$3&gt;='APA Assumptions'!$B$6,B$3&lt;'APA Assumptions'!$B$6+'APA Assumptions'!$B$7),'APA Assumptions'!$B$8,0)</f>
        <v>25714.2857142857</v>
      </c>
      <c r="C7" s="357" t="n">
        <f aca="false">IF(AND(C$3&gt;='APA Assumptions'!$B$6,C$3&lt;'APA Assumptions'!$B$6+'APA Assumptions'!$B$7),'APA Assumptions'!$B$8,0)</f>
        <v>25714.2857142857</v>
      </c>
      <c r="D7" s="357" t="n">
        <f aca="false">IF(AND(D$3&gt;='APA Assumptions'!$B$6,D$3&lt;'APA Assumptions'!$B$6+'APA Assumptions'!$B$7),'APA Assumptions'!$B$8,0)</f>
        <v>25714.2857142857</v>
      </c>
      <c r="E7" s="357" t="n">
        <f aca="false">IF(AND(E$3&gt;='APA Assumptions'!$B$6,E$3&lt;'APA Assumptions'!$B$6+'APA Assumptions'!$B$7),'APA Assumptions'!$B$8,0)</f>
        <v>25714.2857142857</v>
      </c>
      <c r="F7" s="357" t="n">
        <f aca="false">IF(AND(F$3&gt;='APA Assumptions'!$B$6,F$3&lt;'APA Assumptions'!$B$6+'APA Assumptions'!$B$7),'APA Assumptions'!$B$8,0)</f>
        <v>25714.2857142857</v>
      </c>
      <c r="G7" s="357" t="n">
        <f aca="false">IF(AND(G$3&gt;='APA Assumptions'!$B$6,G$3&lt;'APA Assumptions'!$B$6+'APA Assumptions'!$B$7),'APA Assumptions'!$B$8,0)</f>
        <v>25714.2857142857</v>
      </c>
      <c r="H7" s="357" t="n">
        <f aca="false">IF(AND(H$3&gt;='APA Assumptions'!$B$6,H$3&lt;'APA Assumptions'!$B$6+'APA Assumptions'!$B$7),'APA Assumptions'!$B$8,0)</f>
        <v>25714.2857142857</v>
      </c>
      <c r="I7" s="357" t="n">
        <f aca="false">IF(AND(I$3&gt;='APA Assumptions'!$B$6,I$3&lt;'APA Assumptions'!$B$6+'APA Assumptions'!$B$7),'APA Assumptions'!$B$8,0)</f>
        <v>0</v>
      </c>
      <c r="J7" s="357" t="n">
        <f aca="false">IF(AND(J$3&gt;='APA Assumptions'!$B$6,J$3&lt;'APA Assumptions'!$B$6+'APA Assumptions'!$B$7),'APA Assumptions'!$B$8,0)</f>
        <v>0</v>
      </c>
      <c r="K7" s="357" t="n">
        <f aca="false">IF(AND(K$3&gt;='APA Assumptions'!$B$6,K$3&lt;'APA Assumptions'!$B$6+'APA Assumptions'!$B$7),'APA Assumptions'!$B$8,0)</f>
        <v>0</v>
      </c>
      <c r="L7" s="357" t="n">
        <f aca="false">IF(AND(L$3&gt;='APA Assumptions'!$B$6,L$3&lt;'APA Assumptions'!$B$6+'APA Assumptions'!$B$7),'APA Assumptions'!$B$8,0)</f>
        <v>0</v>
      </c>
      <c r="M7" s="357" t="n">
        <f aca="false">IF(AND(M$3&gt;='APA Assumptions'!$B$6,M$3&lt;'APA Assumptions'!$B$6+'APA Assumptions'!$B$7),'APA Assumptions'!$B$8,0)</f>
        <v>0</v>
      </c>
      <c r="N7" s="357" t="n">
        <f aca="false">IF(AND(N$3&gt;='APA Assumptions'!$B$6,N$3&lt;'APA Assumptions'!$B$6+'APA Assumptions'!$B$7),'APA Assumptions'!$B$8,0)</f>
        <v>0</v>
      </c>
      <c r="O7" s="357" t="n">
        <f aca="false">IF(AND(O$3&gt;='APA Assumptions'!$B$6,O$3&lt;'APA Assumptions'!$B$6+'APA Assumptions'!$B$7),'APA Assumptions'!$B$8,0)</f>
        <v>0</v>
      </c>
      <c r="P7" s="357" t="n">
        <f aca="false">IF(AND(P$3&gt;='APA Assumptions'!$B$6,P$3&lt;'APA Assumptions'!$B$6+'APA Assumptions'!$B$7),'APA Assumptions'!$B$8,0)</f>
        <v>0</v>
      </c>
      <c r="Q7" s="357" t="n">
        <f aca="false">IF(AND(Q$3&gt;='APA Assumptions'!$B$6,Q$3&lt;'APA Assumptions'!$B$6+'APA Assumptions'!$B$7),'APA Assumptions'!$B$8,0)</f>
        <v>0</v>
      </c>
      <c r="R7" s="357" t="n">
        <f aca="false">IF(AND(R$3&gt;='APA Assumptions'!$B$6,R$3&lt;'APA Assumptions'!$B$6+'APA Assumptions'!$B$7),'APA Assumptions'!$B$8,0)</f>
        <v>0</v>
      </c>
      <c r="S7" s="357" t="n">
        <f aca="false">IF(AND(S$3&gt;='APA Assumptions'!$B$6,S$3&lt;'APA Assumptions'!$B$6+'APA Assumptions'!$B$7),'APA Assumptions'!$B$8,0)</f>
        <v>0</v>
      </c>
      <c r="T7" s="357" t="n">
        <f aca="false">IF(AND(T$3&gt;='APA Assumptions'!$B$6,T$3&lt;'APA Assumptions'!$B$6+'APA Assumptions'!$B$7),'APA Assumptions'!$B$8,0)</f>
        <v>0</v>
      </c>
      <c r="U7" s="357" t="n">
        <f aca="false">IF(AND(U$3&gt;='APA Assumptions'!$B$6,U$3&lt;'APA Assumptions'!$B$6+'APA Assumptions'!$B$7),'APA Assumptions'!$B$8,0)</f>
        <v>0</v>
      </c>
      <c r="V7" s="357" t="n">
        <f aca="false">IF(AND(V$3&gt;='APA Assumptions'!$B$6,V$3&lt;'APA Assumptions'!$B$6+'APA Assumptions'!$B$7),'APA Assumptions'!$B$8,0)</f>
        <v>0</v>
      </c>
      <c r="W7" s="357" t="n">
        <f aca="false">IF(AND(W$3&gt;='APA Assumptions'!$B$6,W$3&lt;'APA Assumptions'!$B$6+'APA Assumptions'!$B$7),'APA Assumptions'!$B$8,0)</f>
        <v>0</v>
      </c>
      <c r="X7" s="357" t="n">
        <f aca="false">IF(AND(X$3&gt;='APA Assumptions'!$B$6,X$3&lt;'APA Assumptions'!$B$6+'APA Assumptions'!$B$7),'APA Assumptions'!$B$8,0)</f>
        <v>0</v>
      </c>
      <c r="Y7" s="357" t="n">
        <f aca="false">IF(AND(Y$3&gt;='APA Assumptions'!$B$6,Y$3&lt;'APA Assumptions'!$B$6+'APA Assumptions'!$B$7),'APA Assumptions'!$B$8,0)</f>
        <v>0</v>
      </c>
      <c r="Z7" s="357" t="n">
        <f aca="false">IF(AND(Z$3&gt;='APA Assumptions'!$B$6,Z$3&lt;'APA Assumptions'!$B$6+'APA Assumptions'!$B$7),'APA Assumptions'!$B$8,0)</f>
        <v>0</v>
      </c>
      <c r="AA7" s="357" t="n">
        <f aca="false">IF(AND(AA$3&gt;='APA Assumptions'!$B$6,AA$3&lt;'APA Assumptions'!$B$6+'APA Assumptions'!$B$7),'APA Assumptions'!$B$8,0)</f>
        <v>0</v>
      </c>
      <c r="AB7" s="357" t="n">
        <f aca="false">IF(AND(AB$3&gt;='APA Assumptions'!$B$6,AB$3&lt;'APA Assumptions'!$B$6+'APA Assumptions'!$B$7),'APA Assumptions'!$B$8,0)</f>
        <v>0</v>
      </c>
      <c r="AC7" s="357" t="n">
        <f aca="false">IF(AND(AC$3&gt;='APA Assumptions'!$B$6,AC$3&lt;'APA Assumptions'!$B$6+'APA Assumptions'!$B$7),'APA Assumptions'!$B$8,0)</f>
        <v>0</v>
      </c>
      <c r="AD7" s="357" t="n">
        <f aca="false">IF(AND(AD$3&gt;='APA Assumptions'!$B$6,AD$3&lt;'APA Assumptions'!$B$6+'APA Assumptions'!$B$7),'APA Assumptions'!$B$8,0)</f>
        <v>0</v>
      </c>
      <c r="AE7" s="357" t="n">
        <f aca="false">IF(AND(AE$3&gt;='APA Assumptions'!$B$6,AE$3&lt;'APA Assumptions'!$B$6+'APA Assumptions'!$B$7),'APA Assumptions'!$B$8,0)</f>
        <v>0</v>
      </c>
      <c r="AF7" s="357" t="n">
        <f aca="false">IF(AND(AF$3&gt;='APA Assumptions'!$B$6,AF$3&lt;'APA Assumptions'!$B$6+'APA Assumptions'!$B$7),'APA Assumptions'!$B$8,0)</f>
        <v>0</v>
      </c>
      <c r="AG7" s="357" t="n">
        <f aca="false">IF(AND(AG$3&gt;='APA Assumptions'!$B$6,AG$3&lt;'APA Assumptions'!$B$6+'APA Assumptions'!$B$7),'APA Assumptions'!$B$8,0)</f>
        <v>0</v>
      </c>
      <c r="AH7" s="357" t="n">
        <f aca="false">IF(AND(AH$3&gt;='APA Assumptions'!$B$6,AH$3&lt;'APA Assumptions'!$B$6+'APA Assumptions'!$B$7),'APA Assumptions'!$B$8,0)</f>
        <v>0</v>
      </c>
      <c r="AI7" s="357" t="n">
        <f aca="false">IF(AND(AI$3&gt;='APA Assumptions'!$B$6,AI$3&lt;'APA Assumptions'!$B$6+'APA Assumptions'!$B$7),'APA Assumptions'!$B$8,0)</f>
        <v>0</v>
      </c>
      <c r="AJ7" s="357" t="n">
        <f aca="false">IF(AND(AJ$3&gt;='APA Assumptions'!$B$6,AJ$3&lt;'APA Assumptions'!$B$6+'APA Assumptions'!$B$7),'APA Assumptions'!$B$8,0)</f>
        <v>0</v>
      </c>
      <c r="AK7" s="357" t="n">
        <f aca="false">IF(AND(AK$3&gt;='APA Assumptions'!$B$6,AK$3&lt;'APA Assumptions'!$B$6+'APA Assumptions'!$B$7),'APA Assumptions'!$B$8,0)</f>
        <v>0</v>
      </c>
      <c r="AL7" s="357" t="n">
        <f aca="false">IF(AND(AL$3&gt;='APA Assumptions'!$B$6,AL$3&lt;'APA Assumptions'!$B$6+'APA Assumptions'!$B$7),'APA Assumptions'!$B$8,0)</f>
        <v>0</v>
      </c>
      <c r="AM7" s="357" t="n">
        <f aca="false">IF(AND(AM$3&gt;='APA Assumptions'!$B$6,AM$3&lt;'APA Assumptions'!$B$6+'APA Assumptions'!$B$7),'APA Assumptions'!$B$8,0)</f>
        <v>0</v>
      </c>
      <c r="AN7" s="357" t="n">
        <f aca="false">SUM(B7:AM7)</f>
        <v>180000</v>
      </c>
    </row>
    <row r="8" customFormat="false" ht="15" hidden="false" customHeight="true" outlineLevel="0" collapsed="false">
      <c r="A8" s="125" t="s">
        <v>1301</v>
      </c>
      <c r="B8" s="357" t="n">
        <f aca="false">IF(AND(B$3&gt;='APA Assumptions'!$B$10,B$3&lt;'APA Assumptions'!$B$10+'APA Assumptions'!$B$11),'APA Assumptions'!$B$9,0)</f>
        <v>0</v>
      </c>
      <c r="C8" s="357" t="n">
        <f aca="false">IF(AND(C$3&gt;='APA Assumptions'!$B$10,C$3&lt;'APA Assumptions'!$B$10+'APA Assumptions'!$B$11),'APA Assumptions'!$B$9,0)</f>
        <v>0</v>
      </c>
      <c r="D8" s="357" t="n">
        <f aca="false">IF(AND(D$3&gt;='APA Assumptions'!$B$10,D$3&lt;'APA Assumptions'!$B$10+'APA Assumptions'!$B$11),'APA Assumptions'!$B$9,0)</f>
        <v>0</v>
      </c>
      <c r="E8" s="357" t="n">
        <f aca="false">IF(AND(E$3&gt;='APA Assumptions'!$B$10,E$3&lt;'APA Assumptions'!$B$10+'APA Assumptions'!$B$11),'APA Assumptions'!$B$9,0)</f>
        <v>0</v>
      </c>
      <c r="F8" s="357" t="n">
        <f aca="false">IF(AND(F$3&gt;='APA Assumptions'!$B$10,F$3&lt;'APA Assumptions'!$B$10+'APA Assumptions'!$B$11),'APA Assumptions'!$B$9,0)</f>
        <v>0</v>
      </c>
      <c r="G8" s="357" t="n">
        <f aca="false">IF(AND(G$3&gt;='APA Assumptions'!$B$10,G$3&lt;'APA Assumptions'!$B$10+'APA Assumptions'!$B$11),'APA Assumptions'!$B$9,0)</f>
        <v>0</v>
      </c>
      <c r="H8" s="357" t="n">
        <f aca="false">IF(AND(H$3&gt;='APA Assumptions'!$B$10,H$3&lt;'APA Assumptions'!$B$10+'APA Assumptions'!$B$11),'APA Assumptions'!$B$9,0)</f>
        <v>0</v>
      </c>
      <c r="I8" s="357" t="n">
        <f aca="false">IF(AND(I$3&gt;='APA Assumptions'!$B$10,I$3&lt;'APA Assumptions'!$B$10+'APA Assumptions'!$B$11),'APA Assumptions'!$B$9,0)</f>
        <v>0</v>
      </c>
      <c r="J8" s="357" t="n">
        <f aca="false">IF(AND(J$3&gt;='APA Assumptions'!$B$10,J$3&lt;'APA Assumptions'!$B$10+'APA Assumptions'!$B$11),'APA Assumptions'!$B$9,0)</f>
        <v>2500</v>
      </c>
      <c r="K8" s="357" t="n">
        <f aca="false">IF(AND(K$3&gt;='APA Assumptions'!$B$10,K$3&lt;'APA Assumptions'!$B$10+'APA Assumptions'!$B$11),'APA Assumptions'!$B$9,0)</f>
        <v>2500</v>
      </c>
      <c r="L8" s="357" t="n">
        <f aca="false">IF(AND(L$3&gt;='APA Assumptions'!$B$10,L$3&lt;'APA Assumptions'!$B$10+'APA Assumptions'!$B$11),'APA Assumptions'!$B$9,0)</f>
        <v>2500</v>
      </c>
      <c r="M8" s="357" t="n">
        <f aca="false">IF(AND(M$3&gt;='APA Assumptions'!$B$10,M$3&lt;'APA Assumptions'!$B$10+'APA Assumptions'!$B$11),'APA Assumptions'!$B$9,0)</f>
        <v>2500</v>
      </c>
      <c r="N8" s="357" t="n">
        <f aca="false">IF(AND(N$3&gt;='APA Assumptions'!$B$10,N$3&lt;'APA Assumptions'!$B$10+'APA Assumptions'!$B$11),'APA Assumptions'!$B$9,0)</f>
        <v>2500</v>
      </c>
      <c r="O8" s="357" t="n">
        <f aca="false">IF(AND(O$3&gt;='APA Assumptions'!$B$10,O$3&lt;'APA Assumptions'!$B$10+'APA Assumptions'!$B$11),'APA Assumptions'!$B$9,0)</f>
        <v>2500</v>
      </c>
      <c r="P8" s="357" t="n">
        <f aca="false">IF(AND(P$3&gt;='APA Assumptions'!$B$10,P$3&lt;'APA Assumptions'!$B$10+'APA Assumptions'!$B$11),'APA Assumptions'!$B$9,0)</f>
        <v>2500</v>
      </c>
      <c r="Q8" s="357" t="n">
        <f aca="false">IF(AND(Q$3&gt;='APA Assumptions'!$B$10,Q$3&lt;'APA Assumptions'!$B$10+'APA Assumptions'!$B$11),'APA Assumptions'!$B$9,0)</f>
        <v>2500</v>
      </c>
      <c r="R8" s="357" t="n">
        <f aca="false">IF(AND(R$3&gt;='APA Assumptions'!$B$10,R$3&lt;'APA Assumptions'!$B$10+'APA Assumptions'!$B$11),'APA Assumptions'!$B$9,0)</f>
        <v>2500</v>
      </c>
      <c r="S8" s="357" t="n">
        <f aca="false">IF(AND(S$3&gt;='APA Assumptions'!$B$10,S$3&lt;'APA Assumptions'!$B$10+'APA Assumptions'!$B$11),'APA Assumptions'!$B$9,0)</f>
        <v>2500</v>
      </c>
      <c r="T8" s="357" t="n">
        <f aca="false">IF(AND(T$3&gt;='APA Assumptions'!$B$10,T$3&lt;'APA Assumptions'!$B$10+'APA Assumptions'!$B$11),'APA Assumptions'!$B$9,0)</f>
        <v>2500</v>
      </c>
      <c r="U8" s="357" t="n">
        <f aca="false">IF(AND(U$3&gt;='APA Assumptions'!$B$10,U$3&lt;'APA Assumptions'!$B$10+'APA Assumptions'!$B$11),'APA Assumptions'!$B$9,0)</f>
        <v>2500</v>
      </c>
      <c r="V8" s="357" t="n">
        <f aca="false">IF(AND(V$3&gt;='APA Assumptions'!$B$10,V$3&lt;'APA Assumptions'!$B$10+'APA Assumptions'!$B$11),'APA Assumptions'!$B$9,0)</f>
        <v>2500</v>
      </c>
      <c r="W8" s="357" t="n">
        <f aca="false">IF(AND(W$3&gt;='APA Assumptions'!$B$10,W$3&lt;'APA Assumptions'!$B$10+'APA Assumptions'!$B$11),'APA Assumptions'!$B$9,0)</f>
        <v>2500</v>
      </c>
      <c r="X8" s="357" t="n">
        <f aca="false">IF(AND(X$3&gt;='APA Assumptions'!$B$10,X$3&lt;'APA Assumptions'!$B$10+'APA Assumptions'!$B$11),'APA Assumptions'!$B$9,0)</f>
        <v>2500</v>
      </c>
      <c r="Y8" s="357" t="n">
        <f aca="false">IF(AND(Y$3&gt;='APA Assumptions'!$B$10,Y$3&lt;'APA Assumptions'!$B$10+'APA Assumptions'!$B$11),'APA Assumptions'!$B$9,0)</f>
        <v>2500</v>
      </c>
      <c r="Z8" s="357" t="n">
        <f aca="false">IF(AND(Z$3&gt;='APA Assumptions'!$B$10,Z$3&lt;'APA Assumptions'!$B$10+'APA Assumptions'!$B$11),'APA Assumptions'!$B$9,0)</f>
        <v>2500</v>
      </c>
      <c r="AA8" s="357" t="n">
        <f aca="false">IF(AND(AA$3&gt;='APA Assumptions'!$B$10,AA$3&lt;'APA Assumptions'!$B$10+'APA Assumptions'!$B$11),'APA Assumptions'!$B$9,0)</f>
        <v>2500</v>
      </c>
      <c r="AB8" s="357" t="n">
        <f aca="false">IF(AND(AB$3&gt;='APA Assumptions'!$B$10,AB$3&lt;'APA Assumptions'!$B$10+'APA Assumptions'!$B$11),'APA Assumptions'!$B$9,0)</f>
        <v>2500</v>
      </c>
      <c r="AC8" s="357" t="n">
        <f aca="false">IF(AND(AC$3&gt;='APA Assumptions'!$B$10,AC$3&lt;'APA Assumptions'!$B$10+'APA Assumptions'!$B$11),'APA Assumptions'!$B$9,0)</f>
        <v>2500</v>
      </c>
      <c r="AD8" s="357" t="n">
        <f aca="false">IF(AND(AD$3&gt;='APA Assumptions'!$B$10,AD$3&lt;'APA Assumptions'!$B$10+'APA Assumptions'!$B$11),'APA Assumptions'!$B$9,0)</f>
        <v>2500</v>
      </c>
      <c r="AE8" s="357" t="n">
        <f aca="false">IF(AND(AE$3&gt;='APA Assumptions'!$B$10,AE$3&lt;'APA Assumptions'!$B$10+'APA Assumptions'!$B$11),'APA Assumptions'!$B$9,0)</f>
        <v>2500</v>
      </c>
      <c r="AF8" s="357" t="n">
        <f aca="false">IF(AND(AF$3&gt;='APA Assumptions'!$B$10,AF$3&lt;'APA Assumptions'!$B$10+'APA Assumptions'!$B$11),'APA Assumptions'!$B$9,0)</f>
        <v>2500</v>
      </c>
      <c r="AG8" s="357" t="n">
        <f aca="false">IF(AND(AG$3&gt;='APA Assumptions'!$B$10,AG$3&lt;'APA Assumptions'!$B$10+'APA Assumptions'!$B$11),'APA Assumptions'!$B$9,0)</f>
        <v>2500</v>
      </c>
      <c r="AH8" s="357" t="n">
        <f aca="false">IF(AND(AH$3&gt;='APA Assumptions'!$B$10,AH$3&lt;'APA Assumptions'!$B$10+'APA Assumptions'!$B$11),'APA Assumptions'!$B$9,0)</f>
        <v>2500</v>
      </c>
      <c r="AI8" s="357" t="n">
        <f aca="false">IF(AND(AI$3&gt;='APA Assumptions'!$B$10,AI$3&lt;'APA Assumptions'!$B$10+'APA Assumptions'!$B$11),'APA Assumptions'!$B$9,0)</f>
        <v>2500</v>
      </c>
      <c r="AJ8" s="357" t="n">
        <f aca="false">IF(AND(AJ$3&gt;='APA Assumptions'!$B$10,AJ$3&lt;'APA Assumptions'!$B$10+'APA Assumptions'!$B$11),'APA Assumptions'!$B$9,0)</f>
        <v>2500</v>
      </c>
      <c r="AK8" s="357" t="n">
        <f aca="false">IF(AND(AK$3&gt;='APA Assumptions'!$B$10,AK$3&lt;'APA Assumptions'!$B$10+'APA Assumptions'!$B$11),'APA Assumptions'!$B$9,0)</f>
        <v>2500</v>
      </c>
      <c r="AL8" s="357" t="n">
        <f aca="false">IF(AND(AL$3&gt;='APA Assumptions'!$B$10,AL$3&lt;'APA Assumptions'!$B$10+'APA Assumptions'!$B$11),'APA Assumptions'!$B$9,0)</f>
        <v>2500</v>
      </c>
      <c r="AM8" s="357" t="n">
        <f aca="false">IF(AND(AM$3&gt;='APA Assumptions'!$B$10,AM$3&lt;'APA Assumptions'!$B$10+'APA Assumptions'!$B$11),'APA Assumptions'!$B$9,0)</f>
        <v>2500</v>
      </c>
      <c r="AN8" s="357" t="n">
        <f aca="false">SUM(B8:AM8)</f>
        <v>75000</v>
      </c>
    </row>
    <row r="9" customFormat="false" ht="15" hidden="false" customHeight="true" outlineLevel="0" collapsed="false">
      <c r="A9" s="125" t="s">
        <v>1302</v>
      </c>
      <c r="B9" s="357" t="n">
        <f aca="false">IF(AND(B$3&gt;='APA Assumptions'!$B$13,B$3&lt;'APA Assumptions'!$B$13+'APA Assumptions'!$B$14),'APA Assumptions'!$B$12,0)</f>
        <v>0</v>
      </c>
      <c r="C9" s="357" t="n">
        <f aca="false">IF(AND(C$3&gt;='APA Assumptions'!$B$13,C$3&lt;'APA Assumptions'!$B$13+'APA Assumptions'!$B$14),'APA Assumptions'!$B$12,0)</f>
        <v>2694</v>
      </c>
      <c r="D9" s="357" t="n">
        <f aca="false">IF(AND(D$3&gt;='APA Assumptions'!$B$13,D$3&lt;'APA Assumptions'!$B$13+'APA Assumptions'!$B$14),'APA Assumptions'!$B$12,0)</f>
        <v>2694</v>
      </c>
      <c r="E9" s="357" t="n">
        <f aca="false">IF(AND(E$3&gt;='APA Assumptions'!$B$13,E$3&lt;'APA Assumptions'!$B$13+'APA Assumptions'!$B$14),'APA Assumptions'!$B$12,0)</f>
        <v>2694</v>
      </c>
      <c r="F9" s="357" t="n">
        <f aca="false">IF(AND(F$3&gt;='APA Assumptions'!$B$13,F$3&lt;'APA Assumptions'!$B$13+'APA Assumptions'!$B$14),'APA Assumptions'!$B$12,0)</f>
        <v>2694</v>
      </c>
      <c r="G9" s="357" t="n">
        <f aca="false">IF(AND(G$3&gt;='APA Assumptions'!$B$13,G$3&lt;'APA Assumptions'!$B$13+'APA Assumptions'!$B$14),'APA Assumptions'!$B$12,0)</f>
        <v>2694</v>
      </c>
      <c r="H9" s="357" t="n">
        <f aca="false">IF(AND(H$3&gt;='APA Assumptions'!$B$13,H$3&lt;'APA Assumptions'!$B$13+'APA Assumptions'!$B$14),'APA Assumptions'!$B$12,0)</f>
        <v>2694</v>
      </c>
      <c r="I9" s="357" t="n">
        <f aca="false">IF(AND(I$3&gt;='APA Assumptions'!$B$13,I$3&lt;'APA Assumptions'!$B$13+'APA Assumptions'!$B$14),'APA Assumptions'!$B$12,0)</f>
        <v>2694</v>
      </c>
      <c r="J9" s="357" t="n">
        <f aca="false">IF(AND(J$3&gt;='APA Assumptions'!$B$13,J$3&lt;'APA Assumptions'!$B$13+'APA Assumptions'!$B$14),'APA Assumptions'!$B$12,0)</f>
        <v>2694</v>
      </c>
      <c r="K9" s="357" t="n">
        <f aca="false">IF(AND(K$3&gt;='APA Assumptions'!$B$13,K$3&lt;'APA Assumptions'!$B$13+'APA Assumptions'!$B$14),'APA Assumptions'!$B$12,0)</f>
        <v>2694</v>
      </c>
      <c r="L9" s="357" t="n">
        <f aca="false">IF(AND(L$3&gt;='APA Assumptions'!$B$13,L$3&lt;'APA Assumptions'!$B$13+'APA Assumptions'!$B$14),'APA Assumptions'!$B$12,0)</f>
        <v>2694</v>
      </c>
      <c r="M9" s="357" t="n">
        <f aca="false">IF(AND(M$3&gt;='APA Assumptions'!$B$13,M$3&lt;'APA Assumptions'!$B$13+'APA Assumptions'!$B$14),'APA Assumptions'!$B$12,0)</f>
        <v>2694</v>
      </c>
      <c r="N9" s="357" t="n">
        <f aca="false">IF(AND(N$3&gt;='APA Assumptions'!$B$13,N$3&lt;'APA Assumptions'!$B$13+'APA Assumptions'!$B$14),'APA Assumptions'!$B$12,0)</f>
        <v>2694</v>
      </c>
      <c r="O9" s="357" t="n">
        <f aca="false">IF(AND(O$3&gt;='APA Assumptions'!$B$13,O$3&lt;'APA Assumptions'!$B$13+'APA Assumptions'!$B$14),'APA Assumptions'!$B$12,0)</f>
        <v>2694</v>
      </c>
      <c r="P9" s="357" t="n">
        <f aca="false">IF(AND(P$3&gt;='APA Assumptions'!$B$13,P$3&lt;'APA Assumptions'!$B$13+'APA Assumptions'!$B$14),'APA Assumptions'!$B$12,0)</f>
        <v>2694</v>
      </c>
      <c r="Q9" s="357" t="n">
        <f aca="false">IF(AND(Q$3&gt;='APA Assumptions'!$B$13,Q$3&lt;'APA Assumptions'!$B$13+'APA Assumptions'!$B$14),'APA Assumptions'!$B$12,0)</f>
        <v>2694</v>
      </c>
      <c r="R9" s="357" t="n">
        <f aca="false">IF(AND(R$3&gt;='APA Assumptions'!$B$13,R$3&lt;'APA Assumptions'!$B$13+'APA Assumptions'!$B$14),'APA Assumptions'!$B$12,0)</f>
        <v>0</v>
      </c>
      <c r="S9" s="357" t="n">
        <f aca="false">IF(AND(S$3&gt;='APA Assumptions'!$B$13,S$3&lt;'APA Assumptions'!$B$13+'APA Assumptions'!$B$14),'APA Assumptions'!$B$12,0)</f>
        <v>0</v>
      </c>
      <c r="T9" s="357" t="n">
        <f aca="false">IF(AND(T$3&gt;='APA Assumptions'!$B$13,T$3&lt;'APA Assumptions'!$B$13+'APA Assumptions'!$B$14),'APA Assumptions'!$B$12,0)</f>
        <v>0</v>
      </c>
      <c r="U9" s="357" t="n">
        <f aca="false">IF(AND(U$3&gt;='APA Assumptions'!$B$13,U$3&lt;'APA Assumptions'!$B$13+'APA Assumptions'!$B$14),'APA Assumptions'!$B$12,0)</f>
        <v>0</v>
      </c>
      <c r="V9" s="357" t="n">
        <f aca="false">IF(AND(V$3&gt;='APA Assumptions'!$B$13,V$3&lt;'APA Assumptions'!$B$13+'APA Assumptions'!$B$14),'APA Assumptions'!$B$12,0)</f>
        <v>0</v>
      </c>
      <c r="W9" s="357" t="n">
        <f aca="false">IF(AND(W$3&gt;='APA Assumptions'!$B$13,W$3&lt;'APA Assumptions'!$B$13+'APA Assumptions'!$B$14),'APA Assumptions'!$B$12,0)</f>
        <v>0</v>
      </c>
      <c r="X9" s="357" t="n">
        <f aca="false">IF(AND(X$3&gt;='APA Assumptions'!$B$13,X$3&lt;'APA Assumptions'!$B$13+'APA Assumptions'!$B$14),'APA Assumptions'!$B$12,0)</f>
        <v>0</v>
      </c>
      <c r="Y9" s="357" t="n">
        <f aca="false">IF(AND(Y$3&gt;='APA Assumptions'!$B$13,Y$3&lt;'APA Assumptions'!$B$13+'APA Assumptions'!$B$14),'APA Assumptions'!$B$12,0)</f>
        <v>0</v>
      </c>
      <c r="Z9" s="357" t="n">
        <f aca="false">IF(AND(Z$3&gt;='APA Assumptions'!$B$13,Z$3&lt;'APA Assumptions'!$B$13+'APA Assumptions'!$B$14),'APA Assumptions'!$B$12,0)</f>
        <v>0</v>
      </c>
      <c r="AA9" s="357" t="n">
        <f aca="false">IF(AND(AA$3&gt;='APA Assumptions'!$B$13,AA$3&lt;'APA Assumptions'!$B$13+'APA Assumptions'!$B$14),'APA Assumptions'!$B$12,0)</f>
        <v>0</v>
      </c>
      <c r="AB9" s="357" t="n">
        <f aca="false">IF(AND(AB$3&gt;='APA Assumptions'!$B$13,AB$3&lt;'APA Assumptions'!$B$13+'APA Assumptions'!$B$14),'APA Assumptions'!$B$12,0)</f>
        <v>0</v>
      </c>
      <c r="AC9" s="357" t="n">
        <f aca="false">IF(AND(AC$3&gt;='APA Assumptions'!$B$13,AC$3&lt;'APA Assumptions'!$B$13+'APA Assumptions'!$B$14),'APA Assumptions'!$B$12,0)</f>
        <v>0</v>
      </c>
      <c r="AD9" s="357" t="n">
        <f aca="false">IF(AND(AD$3&gt;='APA Assumptions'!$B$13,AD$3&lt;'APA Assumptions'!$B$13+'APA Assumptions'!$B$14),'APA Assumptions'!$B$12,0)</f>
        <v>0</v>
      </c>
      <c r="AE9" s="357" t="n">
        <f aca="false">IF(AND(AE$3&gt;='APA Assumptions'!$B$13,AE$3&lt;'APA Assumptions'!$B$13+'APA Assumptions'!$B$14),'APA Assumptions'!$B$12,0)</f>
        <v>0</v>
      </c>
      <c r="AF9" s="357" t="n">
        <f aca="false">IF(AND(AF$3&gt;='APA Assumptions'!$B$13,AF$3&lt;'APA Assumptions'!$B$13+'APA Assumptions'!$B$14),'APA Assumptions'!$B$12,0)</f>
        <v>0</v>
      </c>
      <c r="AG9" s="357" t="n">
        <f aca="false">IF(AND(AG$3&gt;='APA Assumptions'!$B$13,AG$3&lt;'APA Assumptions'!$B$13+'APA Assumptions'!$B$14),'APA Assumptions'!$B$12,0)</f>
        <v>0</v>
      </c>
      <c r="AH9" s="357" t="n">
        <f aca="false">IF(AND(AH$3&gt;='APA Assumptions'!$B$13,AH$3&lt;'APA Assumptions'!$B$13+'APA Assumptions'!$B$14),'APA Assumptions'!$B$12,0)</f>
        <v>0</v>
      </c>
      <c r="AI9" s="357" t="n">
        <f aca="false">IF(AND(AI$3&gt;='APA Assumptions'!$B$13,AI$3&lt;'APA Assumptions'!$B$13+'APA Assumptions'!$B$14),'APA Assumptions'!$B$12,0)</f>
        <v>0</v>
      </c>
      <c r="AJ9" s="357" t="n">
        <f aca="false">IF(AND(AJ$3&gt;='APA Assumptions'!$B$13,AJ$3&lt;'APA Assumptions'!$B$13+'APA Assumptions'!$B$14),'APA Assumptions'!$B$12,0)</f>
        <v>0</v>
      </c>
      <c r="AK9" s="357" t="n">
        <f aca="false">IF(AND(AK$3&gt;='APA Assumptions'!$B$13,AK$3&lt;'APA Assumptions'!$B$13+'APA Assumptions'!$B$14),'APA Assumptions'!$B$12,0)</f>
        <v>0</v>
      </c>
      <c r="AL9" s="357" t="n">
        <f aca="false">IF(AND(AL$3&gt;='APA Assumptions'!$B$13,AL$3&lt;'APA Assumptions'!$B$13+'APA Assumptions'!$B$14),'APA Assumptions'!$B$12,0)</f>
        <v>0</v>
      </c>
      <c r="AM9" s="357" t="n">
        <f aca="false">IF(AND(AM$3&gt;='APA Assumptions'!$B$13,AM$3&lt;'APA Assumptions'!$B$13+'APA Assumptions'!$B$14),'APA Assumptions'!$B$12,0)</f>
        <v>0</v>
      </c>
      <c r="AN9" s="357" t="n">
        <f aca="false">SUM(B9:AM9)</f>
        <v>40410</v>
      </c>
    </row>
    <row r="10" customFormat="false" ht="15" hidden="false" customHeight="true" outlineLevel="0" collapsed="false">
      <c r="A10" s="125" t="s">
        <v>1303</v>
      </c>
      <c r="B10" s="357" t="n">
        <f aca="false">IF(AND(B$3&gt;='APA Assumptions'!$B$16,B$3&lt;'APA Assumptions'!$B$16+'APA Assumptions'!$B$17),'APA Assumptions'!$B$15,0)</f>
        <v>0</v>
      </c>
      <c r="C10" s="357" t="n">
        <f aca="false">IF(AND(C$3&gt;='APA Assumptions'!$B$16,C$3&lt;'APA Assumptions'!$B$16+'APA Assumptions'!$B$17),'APA Assumptions'!$B$15,0)</f>
        <v>2500</v>
      </c>
      <c r="D10" s="357" t="n">
        <f aca="false">IF(AND(D$3&gt;='APA Assumptions'!$B$16,D$3&lt;'APA Assumptions'!$B$16+'APA Assumptions'!$B$17),'APA Assumptions'!$B$15,0)</f>
        <v>2500</v>
      </c>
      <c r="E10" s="357" t="n">
        <f aca="false">IF(AND(E$3&gt;='APA Assumptions'!$B$16,E$3&lt;'APA Assumptions'!$B$16+'APA Assumptions'!$B$17),'APA Assumptions'!$B$15,0)</f>
        <v>2500</v>
      </c>
      <c r="F10" s="357" t="n">
        <f aca="false">IF(AND(F$3&gt;='APA Assumptions'!$B$16,F$3&lt;'APA Assumptions'!$B$16+'APA Assumptions'!$B$17),'APA Assumptions'!$B$15,0)</f>
        <v>2500</v>
      </c>
      <c r="G10" s="357" t="n">
        <f aca="false">IF(AND(G$3&gt;='APA Assumptions'!$B$16,G$3&lt;'APA Assumptions'!$B$16+'APA Assumptions'!$B$17),'APA Assumptions'!$B$15,0)</f>
        <v>2500</v>
      </c>
      <c r="H10" s="357" t="n">
        <f aca="false">IF(AND(H$3&gt;='APA Assumptions'!$B$16,H$3&lt;'APA Assumptions'!$B$16+'APA Assumptions'!$B$17),'APA Assumptions'!$B$15,0)</f>
        <v>2500</v>
      </c>
      <c r="I10" s="357" t="n">
        <f aca="false">IF(AND(I$3&gt;='APA Assumptions'!$B$16,I$3&lt;'APA Assumptions'!$B$16+'APA Assumptions'!$B$17),'APA Assumptions'!$B$15,0)</f>
        <v>2500</v>
      </c>
      <c r="J10" s="357" t="n">
        <f aca="false">IF(AND(J$3&gt;='APA Assumptions'!$B$16,J$3&lt;'APA Assumptions'!$B$16+'APA Assumptions'!$B$17),'APA Assumptions'!$B$15,0)</f>
        <v>2500</v>
      </c>
      <c r="K10" s="357" t="n">
        <f aca="false">IF(AND(K$3&gt;='APA Assumptions'!$B$16,K$3&lt;'APA Assumptions'!$B$16+'APA Assumptions'!$B$17),'APA Assumptions'!$B$15,0)</f>
        <v>2500</v>
      </c>
      <c r="L10" s="357" t="n">
        <f aca="false">IF(AND(L$3&gt;='APA Assumptions'!$B$16,L$3&lt;'APA Assumptions'!$B$16+'APA Assumptions'!$B$17),'APA Assumptions'!$B$15,0)</f>
        <v>2500</v>
      </c>
      <c r="M10" s="357" t="n">
        <f aca="false">IF(AND(M$3&gt;='APA Assumptions'!$B$16,M$3&lt;'APA Assumptions'!$B$16+'APA Assumptions'!$B$17),'APA Assumptions'!$B$15,0)</f>
        <v>2500</v>
      </c>
      <c r="N10" s="357" t="n">
        <f aca="false">IF(AND(N$3&gt;='APA Assumptions'!$B$16,N$3&lt;'APA Assumptions'!$B$16+'APA Assumptions'!$B$17),'APA Assumptions'!$B$15,0)</f>
        <v>2500</v>
      </c>
      <c r="O10" s="357" t="n">
        <f aca="false">IF(AND(O$3&gt;='APA Assumptions'!$B$16,O$3&lt;'APA Assumptions'!$B$16+'APA Assumptions'!$B$17),'APA Assumptions'!$B$15,0)</f>
        <v>2500</v>
      </c>
      <c r="P10" s="357" t="n">
        <f aca="false">IF(AND(P$3&gt;='APA Assumptions'!$B$16,P$3&lt;'APA Assumptions'!$B$16+'APA Assumptions'!$B$17),'APA Assumptions'!$B$15,0)</f>
        <v>2500</v>
      </c>
      <c r="Q10" s="357" t="n">
        <f aca="false">IF(AND(Q$3&gt;='APA Assumptions'!$B$16,Q$3&lt;'APA Assumptions'!$B$16+'APA Assumptions'!$B$17),'APA Assumptions'!$B$15,0)</f>
        <v>2500</v>
      </c>
      <c r="R10" s="357" t="n">
        <f aca="false">IF(AND(R$3&gt;='APA Assumptions'!$B$16,R$3&lt;'APA Assumptions'!$B$16+'APA Assumptions'!$B$17),'APA Assumptions'!$B$15,0)</f>
        <v>2500</v>
      </c>
      <c r="S10" s="357" t="n">
        <f aca="false">IF(AND(S$3&gt;='APA Assumptions'!$B$16,S$3&lt;'APA Assumptions'!$B$16+'APA Assumptions'!$B$17),'APA Assumptions'!$B$15,0)</f>
        <v>2500</v>
      </c>
      <c r="T10" s="357" t="n">
        <f aca="false">IF(AND(T$3&gt;='APA Assumptions'!$B$16,T$3&lt;'APA Assumptions'!$B$16+'APA Assumptions'!$B$17),'APA Assumptions'!$B$15,0)</f>
        <v>2500</v>
      </c>
      <c r="U10" s="357" t="n">
        <f aca="false">IF(AND(U$3&gt;='APA Assumptions'!$B$16,U$3&lt;'APA Assumptions'!$B$16+'APA Assumptions'!$B$17),'APA Assumptions'!$B$15,0)</f>
        <v>2500</v>
      </c>
      <c r="V10" s="357" t="n">
        <f aca="false">IF(AND(V$3&gt;='APA Assumptions'!$B$16,V$3&lt;'APA Assumptions'!$B$16+'APA Assumptions'!$B$17),'APA Assumptions'!$B$15,0)</f>
        <v>2500</v>
      </c>
      <c r="W10" s="357" t="n">
        <f aca="false">IF(AND(W$3&gt;='APA Assumptions'!$B$16,W$3&lt;'APA Assumptions'!$B$16+'APA Assumptions'!$B$17),'APA Assumptions'!$B$15,0)</f>
        <v>2500</v>
      </c>
      <c r="X10" s="357" t="n">
        <f aca="false">IF(AND(X$3&gt;='APA Assumptions'!$B$16,X$3&lt;'APA Assumptions'!$B$16+'APA Assumptions'!$B$17),'APA Assumptions'!$B$15,0)</f>
        <v>2500</v>
      </c>
      <c r="Y10" s="357" t="n">
        <f aca="false">IF(AND(Y$3&gt;='APA Assumptions'!$B$16,Y$3&lt;'APA Assumptions'!$B$16+'APA Assumptions'!$B$17),'APA Assumptions'!$B$15,0)</f>
        <v>2500</v>
      </c>
      <c r="Z10" s="357" t="n">
        <f aca="false">IF(AND(Z$3&gt;='APA Assumptions'!$B$16,Z$3&lt;'APA Assumptions'!$B$16+'APA Assumptions'!$B$17),'APA Assumptions'!$B$15,0)</f>
        <v>2500</v>
      </c>
      <c r="AA10" s="357" t="n">
        <f aca="false">IF(AND(AA$3&gt;='APA Assumptions'!$B$16,AA$3&lt;'APA Assumptions'!$B$16+'APA Assumptions'!$B$17),'APA Assumptions'!$B$15,0)</f>
        <v>2500</v>
      </c>
      <c r="AB10" s="357" t="n">
        <f aca="false">IF(AND(AB$3&gt;='APA Assumptions'!$B$16,AB$3&lt;'APA Assumptions'!$B$16+'APA Assumptions'!$B$17),'APA Assumptions'!$B$15,0)</f>
        <v>2500</v>
      </c>
      <c r="AC10" s="357" t="n">
        <f aca="false">IF(AND(AC$3&gt;='APA Assumptions'!$B$16,AC$3&lt;'APA Assumptions'!$B$16+'APA Assumptions'!$B$17),'APA Assumptions'!$B$15,0)</f>
        <v>2500</v>
      </c>
      <c r="AD10" s="357" t="n">
        <f aca="false">IF(AND(AD$3&gt;='APA Assumptions'!$B$16,AD$3&lt;'APA Assumptions'!$B$16+'APA Assumptions'!$B$17),'APA Assumptions'!$B$15,0)</f>
        <v>2500</v>
      </c>
      <c r="AE10" s="357" t="n">
        <f aca="false">IF(AND(AE$3&gt;='APA Assumptions'!$B$16,AE$3&lt;'APA Assumptions'!$B$16+'APA Assumptions'!$B$17),'APA Assumptions'!$B$15,0)</f>
        <v>2500</v>
      </c>
      <c r="AF10" s="357" t="n">
        <f aca="false">IF(AND(AF$3&gt;='APA Assumptions'!$B$16,AF$3&lt;'APA Assumptions'!$B$16+'APA Assumptions'!$B$17),'APA Assumptions'!$B$15,0)</f>
        <v>2500</v>
      </c>
      <c r="AG10" s="357" t="n">
        <f aca="false">IF(AND(AG$3&gt;='APA Assumptions'!$B$16,AG$3&lt;'APA Assumptions'!$B$16+'APA Assumptions'!$B$17),'APA Assumptions'!$B$15,0)</f>
        <v>0</v>
      </c>
      <c r="AH10" s="357" t="n">
        <f aca="false">IF(AND(AH$3&gt;='APA Assumptions'!$B$16,AH$3&lt;'APA Assumptions'!$B$16+'APA Assumptions'!$B$17),'APA Assumptions'!$B$15,0)</f>
        <v>0</v>
      </c>
      <c r="AI10" s="357" t="n">
        <f aca="false">IF(AND(AI$3&gt;='APA Assumptions'!$B$16,AI$3&lt;'APA Assumptions'!$B$16+'APA Assumptions'!$B$17),'APA Assumptions'!$B$15,0)</f>
        <v>0</v>
      </c>
      <c r="AJ10" s="357" t="n">
        <f aca="false">IF(AND(AJ$3&gt;='APA Assumptions'!$B$16,AJ$3&lt;'APA Assumptions'!$B$16+'APA Assumptions'!$B$17),'APA Assumptions'!$B$15,0)</f>
        <v>0</v>
      </c>
      <c r="AK10" s="357" t="n">
        <f aca="false">IF(AND(AK$3&gt;='APA Assumptions'!$B$16,AK$3&lt;'APA Assumptions'!$B$16+'APA Assumptions'!$B$17),'APA Assumptions'!$B$15,0)</f>
        <v>0</v>
      </c>
      <c r="AL10" s="357" t="n">
        <f aca="false">IF(AND(AL$3&gt;='APA Assumptions'!$B$16,AL$3&lt;'APA Assumptions'!$B$16+'APA Assumptions'!$B$17),'APA Assumptions'!$B$15,0)</f>
        <v>0</v>
      </c>
      <c r="AM10" s="357" t="n">
        <f aca="false">IF(AND(AM$3&gt;='APA Assumptions'!$B$16,AM$3&lt;'APA Assumptions'!$B$16+'APA Assumptions'!$B$17),'APA Assumptions'!$B$15,0)</f>
        <v>0</v>
      </c>
      <c r="AN10" s="357" t="n">
        <f aca="false">SUM(B10:AM10)</f>
        <v>75000</v>
      </c>
    </row>
    <row r="11" customFormat="false" ht="15" hidden="false" customHeight="true" outlineLevel="0" collapsed="false">
      <c r="A11" s="125" t="s">
        <v>1304</v>
      </c>
      <c r="B11" s="357" t="n">
        <f aca="false">IF(B$3&gt;='APA Assumptions'!$B$19,MAX(0,MIN('APA Assumptions'!$B$18,'APA Assumptions'!$B$20-'APA Assumptions'!$B$18*(B$3-'APA Assumptions'!$B$19))),0)</f>
        <v>0</v>
      </c>
      <c r="C11" s="357" t="n">
        <f aca="false">IF(C$3&gt;='APA Assumptions'!$B$19,MAX(0,MIN('APA Assumptions'!$B$18,'APA Assumptions'!$B$20-'APA Assumptions'!$B$18*(C$3-'APA Assumptions'!$B$19))),0)</f>
        <v>7500</v>
      </c>
      <c r="D11" s="357" t="n">
        <f aca="false">IF(D$3&gt;='APA Assumptions'!$B$19,MAX(0,MIN('APA Assumptions'!$B$18,'APA Assumptions'!$B$20-'APA Assumptions'!$B$18*(D$3-'APA Assumptions'!$B$19))),0)</f>
        <v>7500</v>
      </c>
      <c r="E11" s="357" t="n">
        <f aca="false">IF(E$3&gt;='APA Assumptions'!$B$19,MAX(0,MIN('APA Assumptions'!$B$18,'APA Assumptions'!$B$20-'APA Assumptions'!$B$18*(E$3-'APA Assumptions'!$B$19))),0)</f>
        <v>7500</v>
      </c>
      <c r="F11" s="357" t="n">
        <f aca="false">IF(F$3&gt;='APA Assumptions'!$B$19,MAX(0,MIN('APA Assumptions'!$B$18,'APA Assumptions'!$B$20-'APA Assumptions'!$B$18*(F$3-'APA Assumptions'!$B$19))),0)</f>
        <v>7500</v>
      </c>
      <c r="G11" s="357" t="n">
        <f aca="false">IF(G$3&gt;='APA Assumptions'!$B$19,MAX(0,MIN('APA Assumptions'!$B$18,'APA Assumptions'!$B$20-'APA Assumptions'!$B$18*(G$3-'APA Assumptions'!$B$19))),0)</f>
        <v>2000</v>
      </c>
      <c r="H11" s="357" t="n">
        <f aca="false">IF(H$3&gt;='APA Assumptions'!$B$19,MAX(0,MIN('APA Assumptions'!$B$18,'APA Assumptions'!$B$20-'APA Assumptions'!$B$18*(H$3-'APA Assumptions'!$B$19))),0)</f>
        <v>0</v>
      </c>
      <c r="I11" s="357" t="n">
        <f aca="false">IF(I$3&gt;='APA Assumptions'!$B$19,MAX(0,MIN('APA Assumptions'!$B$18,'APA Assumptions'!$B$20-'APA Assumptions'!$B$18*(I$3-'APA Assumptions'!$B$19))),0)</f>
        <v>0</v>
      </c>
      <c r="J11" s="357" t="n">
        <f aca="false">IF(J$3&gt;='APA Assumptions'!$B$19,MAX(0,MIN('APA Assumptions'!$B$18,'APA Assumptions'!$B$20-'APA Assumptions'!$B$18*(J$3-'APA Assumptions'!$B$19))),0)</f>
        <v>0</v>
      </c>
      <c r="K11" s="357" t="n">
        <f aca="false">IF(K$3&gt;='APA Assumptions'!$B$19,MAX(0,MIN('APA Assumptions'!$B$18,'APA Assumptions'!$B$20-'APA Assumptions'!$B$18*(K$3-'APA Assumptions'!$B$19))),0)</f>
        <v>0</v>
      </c>
      <c r="L11" s="357" t="n">
        <f aca="false">IF(L$3&gt;='APA Assumptions'!$B$19,MAX(0,MIN('APA Assumptions'!$B$18,'APA Assumptions'!$B$20-'APA Assumptions'!$B$18*(L$3-'APA Assumptions'!$B$19))),0)</f>
        <v>0</v>
      </c>
      <c r="M11" s="357" t="n">
        <f aca="false">IF(M$3&gt;='APA Assumptions'!$B$19,MAX(0,MIN('APA Assumptions'!$B$18,'APA Assumptions'!$B$20-'APA Assumptions'!$B$18*(M$3-'APA Assumptions'!$B$19))),0)</f>
        <v>0</v>
      </c>
      <c r="N11" s="357" t="n">
        <f aca="false">IF(N$3&gt;='APA Assumptions'!$B$19,MAX(0,MIN('APA Assumptions'!$B$18,'APA Assumptions'!$B$20-'APA Assumptions'!$B$18*(N$3-'APA Assumptions'!$B$19))),0)</f>
        <v>0</v>
      </c>
      <c r="O11" s="357" t="n">
        <f aca="false">IF(O$3&gt;='APA Assumptions'!$B$19,MAX(0,MIN('APA Assumptions'!$B$18,'APA Assumptions'!$B$20-'APA Assumptions'!$B$18*(O$3-'APA Assumptions'!$B$19))),0)</f>
        <v>0</v>
      </c>
      <c r="P11" s="357" t="n">
        <f aca="false">IF(P$3&gt;='APA Assumptions'!$B$19,MAX(0,MIN('APA Assumptions'!$B$18,'APA Assumptions'!$B$20-'APA Assumptions'!$B$18*(P$3-'APA Assumptions'!$B$19))),0)</f>
        <v>0</v>
      </c>
      <c r="Q11" s="357" t="n">
        <f aca="false">IF(Q$3&gt;='APA Assumptions'!$B$19,MAX(0,MIN('APA Assumptions'!$B$18,'APA Assumptions'!$B$20-'APA Assumptions'!$B$18*(Q$3-'APA Assumptions'!$B$19))),0)</f>
        <v>0</v>
      </c>
      <c r="R11" s="357" t="n">
        <f aca="false">IF(R$3&gt;='APA Assumptions'!$B$19,MAX(0,MIN('APA Assumptions'!$B$18,'APA Assumptions'!$B$20-'APA Assumptions'!$B$18*(R$3-'APA Assumptions'!$B$19))),0)</f>
        <v>0</v>
      </c>
      <c r="S11" s="357" t="n">
        <f aca="false">IF(S$3&gt;='APA Assumptions'!$B$19,MAX(0,MIN('APA Assumptions'!$B$18,'APA Assumptions'!$B$20-'APA Assumptions'!$B$18*(S$3-'APA Assumptions'!$B$19))),0)</f>
        <v>0</v>
      </c>
      <c r="T11" s="357" t="n">
        <f aca="false">IF(T$3&gt;='APA Assumptions'!$B$19,MAX(0,MIN('APA Assumptions'!$B$18,'APA Assumptions'!$B$20-'APA Assumptions'!$B$18*(T$3-'APA Assumptions'!$B$19))),0)</f>
        <v>0</v>
      </c>
      <c r="U11" s="357" t="n">
        <f aca="false">IF(U$3&gt;='APA Assumptions'!$B$19,MAX(0,MIN('APA Assumptions'!$B$18,'APA Assumptions'!$B$20-'APA Assumptions'!$B$18*(U$3-'APA Assumptions'!$B$19))),0)</f>
        <v>0</v>
      </c>
      <c r="V11" s="357" t="n">
        <f aca="false">IF(V$3&gt;='APA Assumptions'!$B$19,MAX(0,MIN('APA Assumptions'!$B$18,'APA Assumptions'!$B$20-'APA Assumptions'!$B$18*(V$3-'APA Assumptions'!$B$19))),0)</f>
        <v>0</v>
      </c>
      <c r="W11" s="357" t="n">
        <f aca="false">IF(W$3&gt;='APA Assumptions'!$B$19,MAX(0,MIN('APA Assumptions'!$B$18,'APA Assumptions'!$B$20-'APA Assumptions'!$B$18*(W$3-'APA Assumptions'!$B$19))),0)</f>
        <v>0</v>
      </c>
      <c r="X11" s="357" t="n">
        <f aca="false">IF(X$3&gt;='APA Assumptions'!$B$19,MAX(0,MIN('APA Assumptions'!$B$18,'APA Assumptions'!$B$20-'APA Assumptions'!$B$18*(X$3-'APA Assumptions'!$B$19))),0)</f>
        <v>0</v>
      </c>
      <c r="Y11" s="357" t="n">
        <f aca="false">IF(Y$3&gt;='APA Assumptions'!$B$19,MAX(0,MIN('APA Assumptions'!$B$18,'APA Assumptions'!$B$20-'APA Assumptions'!$B$18*(Y$3-'APA Assumptions'!$B$19))),0)</f>
        <v>0</v>
      </c>
      <c r="Z11" s="357" t="n">
        <f aca="false">IF(Z$3&gt;='APA Assumptions'!$B$19,MAX(0,MIN('APA Assumptions'!$B$18,'APA Assumptions'!$B$20-'APA Assumptions'!$B$18*(Z$3-'APA Assumptions'!$B$19))),0)</f>
        <v>0</v>
      </c>
      <c r="AA11" s="357" t="n">
        <f aca="false">IF(AA$3&gt;='APA Assumptions'!$B$19,MAX(0,MIN('APA Assumptions'!$B$18,'APA Assumptions'!$B$20-'APA Assumptions'!$B$18*(AA$3-'APA Assumptions'!$B$19))),0)</f>
        <v>0</v>
      </c>
      <c r="AB11" s="357" t="n">
        <f aca="false">IF(AB$3&gt;='APA Assumptions'!$B$19,MAX(0,MIN('APA Assumptions'!$B$18,'APA Assumptions'!$B$20-'APA Assumptions'!$B$18*(AB$3-'APA Assumptions'!$B$19))),0)</f>
        <v>0</v>
      </c>
      <c r="AC11" s="357" t="n">
        <f aca="false">IF(AC$3&gt;='APA Assumptions'!$B$19,MAX(0,MIN('APA Assumptions'!$B$18,'APA Assumptions'!$B$20-'APA Assumptions'!$B$18*(AC$3-'APA Assumptions'!$B$19))),0)</f>
        <v>0</v>
      </c>
      <c r="AD11" s="357" t="n">
        <f aca="false">IF(AD$3&gt;='APA Assumptions'!$B$19,MAX(0,MIN('APA Assumptions'!$B$18,'APA Assumptions'!$B$20-'APA Assumptions'!$B$18*(AD$3-'APA Assumptions'!$B$19))),0)</f>
        <v>0</v>
      </c>
      <c r="AE11" s="357" t="n">
        <f aca="false">IF(AE$3&gt;='APA Assumptions'!$B$19,MAX(0,MIN('APA Assumptions'!$B$18,'APA Assumptions'!$B$20-'APA Assumptions'!$B$18*(AE$3-'APA Assumptions'!$B$19))),0)</f>
        <v>0</v>
      </c>
      <c r="AF11" s="357" t="n">
        <f aca="false">IF(AF$3&gt;='APA Assumptions'!$B$19,MAX(0,MIN('APA Assumptions'!$B$18,'APA Assumptions'!$B$20-'APA Assumptions'!$B$18*(AF$3-'APA Assumptions'!$B$19))),0)</f>
        <v>0</v>
      </c>
      <c r="AG11" s="357" t="n">
        <f aca="false">IF(AG$3&gt;='APA Assumptions'!$B$19,MAX(0,MIN('APA Assumptions'!$B$18,'APA Assumptions'!$B$20-'APA Assumptions'!$B$18*(AG$3-'APA Assumptions'!$B$19))),0)</f>
        <v>0</v>
      </c>
      <c r="AH11" s="357" t="n">
        <f aca="false">IF(AH$3&gt;='APA Assumptions'!$B$19,MAX(0,MIN('APA Assumptions'!$B$18,'APA Assumptions'!$B$20-'APA Assumptions'!$B$18*(AH$3-'APA Assumptions'!$B$19))),0)</f>
        <v>0</v>
      </c>
      <c r="AI11" s="357" t="n">
        <f aca="false">IF(AI$3&gt;='APA Assumptions'!$B$19,MAX(0,MIN('APA Assumptions'!$B$18,'APA Assumptions'!$B$20-'APA Assumptions'!$B$18*(AI$3-'APA Assumptions'!$B$19))),0)</f>
        <v>0</v>
      </c>
      <c r="AJ11" s="357" t="n">
        <f aca="false">IF(AJ$3&gt;='APA Assumptions'!$B$19,MAX(0,MIN('APA Assumptions'!$B$18,'APA Assumptions'!$B$20-'APA Assumptions'!$B$18*(AJ$3-'APA Assumptions'!$B$19))),0)</f>
        <v>0</v>
      </c>
      <c r="AK11" s="357" t="n">
        <f aca="false">IF(AK$3&gt;='APA Assumptions'!$B$19,MAX(0,MIN('APA Assumptions'!$B$18,'APA Assumptions'!$B$20-'APA Assumptions'!$B$18*(AK$3-'APA Assumptions'!$B$19))),0)</f>
        <v>0</v>
      </c>
      <c r="AL11" s="357" t="n">
        <f aca="false">IF(AL$3&gt;='APA Assumptions'!$B$19,MAX(0,MIN('APA Assumptions'!$B$18,'APA Assumptions'!$B$20-'APA Assumptions'!$B$18*(AL$3-'APA Assumptions'!$B$19))),0)</f>
        <v>0</v>
      </c>
      <c r="AM11" s="357" t="n">
        <f aca="false">IF(AM$3&gt;='APA Assumptions'!$B$19,MAX(0,MIN('APA Assumptions'!$B$18,'APA Assumptions'!$B$20-'APA Assumptions'!$B$18*(AM$3-'APA Assumptions'!$B$19))),0)</f>
        <v>0</v>
      </c>
      <c r="AN11" s="357" t="n">
        <f aca="false">SUM(B11:AM11)</f>
        <v>32000</v>
      </c>
    </row>
    <row r="12" customFormat="false" ht="15" hidden="false" customHeight="true" outlineLevel="0" collapsed="false">
      <c r="A12" s="125" t="s">
        <v>1305</v>
      </c>
      <c r="B12" s="357" t="n">
        <f aca="false">IF(AND(B$3&gt;='APA Assumptions'!$B$22,B$3&lt;'APA Assumptions'!$B$22+'APA Assumptions'!$B$23),'APA Assumptions'!$B$24,0)</f>
        <v>0</v>
      </c>
      <c r="C12" s="357" t="n">
        <f aca="false">IF(AND(C$3&gt;='APA Assumptions'!$B$22,C$3&lt;'APA Assumptions'!$B$22+'APA Assumptions'!$B$23),'APA Assumptions'!$B$24,0)</f>
        <v>0</v>
      </c>
      <c r="D12" s="357" t="n">
        <f aca="false">IF(AND(D$3&gt;='APA Assumptions'!$B$22,D$3&lt;'APA Assumptions'!$B$22+'APA Assumptions'!$B$23),'APA Assumptions'!$B$24,0)</f>
        <v>0</v>
      </c>
      <c r="E12" s="357" t="n">
        <f aca="false">IF(AND(E$3&gt;='APA Assumptions'!$B$22,E$3&lt;'APA Assumptions'!$B$22+'APA Assumptions'!$B$23),'APA Assumptions'!$B$24,0)</f>
        <v>0</v>
      </c>
      <c r="F12" s="357" t="n">
        <f aca="false">IF(AND(F$3&gt;='APA Assumptions'!$B$22,F$3&lt;'APA Assumptions'!$B$22+'APA Assumptions'!$B$23),'APA Assumptions'!$B$24,0)</f>
        <v>0</v>
      </c>
      <c r="G12" s="357" t="n">
        <f aca="false">IF(AND(G$3&gt;='APA Assumptions'!$B$22,G$3&lt;'APA Assumptions'!$B$22+'APA Assumptions'!$B$23),'APA Assumptions'!$B$24,0)</f>
        <v>0</v>
      </c>
      <c r="H12" s="357" t="n">
        <f aca="false">IF(AND(H$3&gt;='APA Assumptions'!$B$22,H$3&lt;'APA Assumptions'!$B$22+'APA Assumptions'!$B$23),'APA Assumptions'!$B$24,0)</f>
        <v>50000</v>
      </c>
      <c r="I12" s="357" t="n">
        <f aca="false">IF(AND(I$3&gt;='APA Assumptions'!$B$22,I$3&lt;'APA Assumptions'!$B$22+'APA Assumptions'!$B$23),'APA Assumptions'!$B$24,0)</f>
        <v>50000</v>
      </c>
      <c r="J12" s="357" t="n">
        <f aca="false">IF(AND(J$3&gt;='APA Assumptions'!$B$22,J$3&lt;'APA Assumptions'!$B$22+'APA Assumptions'!$B$23),'APA Assumptions'!$B$24,0)</f>
        <v>50000</v>
      </c>
      <c r="K12" s="357" t="n">
        <f aca="false">IF(AND(K$3&gt;='APA Assumptions'!$B$22,K$3&lt;'APA Assumptions'!$B$22+'APA Assumptions'!$B$23),'APA Assumptions'!$B$24,0)</f>
        <v>50000</v>
      </c>
      <c r="L12" s="357" t="n">
        <f aca="false">IF(AND(L$3&gt;='APA Assumptions'!$B$22,L$3&lt;'APA Assumptions'!$B$22+'APA Assumptions'!$B$23),'APA Assumptions'!$B$24,0)</f>
        <v>50000</v>
      </c>
      <c r="M12" s="357" t="n">
        <f aca="false">IF(AND(M$3&gt;='APA Assumptions'!$B$22,M$3&lt;'APA Assumptions'!$B$22+'APA Assumptions'!$B$23),'APA Assumptions'!$B$24,0)</f>
        <v>50000</v>
      </c>
      <c r="N12" s="357" t="n">
        <f aca="false">IF(AND(N$3&gt;='APA Assumptions'!$B$22,N$3&lt;'APA Assumptions'!$B$22+'APA Assumptions'!$B$23),'APA Assumptions'!$B$24,0)</f>
        <v>50000</v>
      </c>
      <c r="O12" s="357" t="n">
        <f aca="false">IF(AND(O$3&gt;='APA Assumptions'!$B$22,O$3&lt;'APA Assumptions'!$B$22+'APA Assumptions'!$B$23),'APA Assumptions'!$B$24,0)</f>
        <v>50000</v>
      </c>
      <c r="P12" s="357" t="n">
        <f aca="false">IF(AND(P$3&gt;='APA Assumptions'!$B$22,P$3&lt;'APA Assumptions'!$B$22+'APA Assumptions'!$B$23),'APA Assumptions'!$B$24,0)</f>
        <v>50000</v>
      </c>
      <c r="Q12" s="357" t="n">
        <f aca="false">IF(AND(Q$3&gt;='APA Assumptions'!$B$22,Q$3&lt;'APA Assumptions'!$B$22+'APA Assumptions'!$B$23),'APA Assumptions'!$B$24,0)</f>
        <v>50000</v>
      </c>
      <c r="R12" s="357" t="n">
        <f aca="false">IF(AND(R$3&gt;='APA Assumptions'!$B$22,R$3&lt;'APA Assumptions'!$B$22+'APA Assumptions'!$B$23),'APA Assumptions'!$B$24,0)</f>
        <v>50000</v>
      </c>
      <c r="S12" s="357" t="n">
        <f aca="false">IF(AND(S$3&gt;='APA Assumptions'!$B$22,S$3&lt;'APA Assumptions'!$B$22+'APA Assumptions'!$B$23),'APA Assumptions'!$B$24,0)</f>
        <v>50000</v>
      </c>
      <c r="T12" s="357" t="n">
        <f aca="false">IF(AND(T$3&gt;='APA Assumptions'!$B$22,T$3&lt;'APA Assumptions'!$B$22+'APA Assumptions'!$B$23),'APA Assumptions'!$B$24,0)</f>
        <v>0</v>
      </c>
      <c r="U12" s="357" t="n">
        <f aca="false">IF(AND(U$3&gt;='APA Assumptions'!$B$22,U$3&lt;'APA Assumptions'!$B$22+'APA Assumptions'!$B$23),'APA Assumptions'!$B$24,0)</f>
        <v>0</v>
      </c>
      <c r="V12" s="357" t="n">
        <f aca="false">IF(AND(V$3&gt;='APA Assumptions'!$B$22,V$3&lt;'APA Assumptions'!$B$22+'APA Assumptions'!$B$23),'APA Assumptions'!$B$24,0)</f>
        <v>0</v>
      </c>
      <c r="W12" s="357" t="n">
        <f aca="false">IF(AND(W$3&gt;='APA Assumptions'!$B$22,W$3&lt;'APA Assumptions'!$B$22+'APA Assumptions'!$B$23),'APA Assumptions'!$B$24,0)</f>
        <v>0</v>
      </c>
      <c r="X12" s="357" t="n">
        <f aca="false">IF(AND(X$3&gt;='APA Assumptions'!$B$22,X$3&lt;'APA Assumptions'!$B$22+'APA Assumptions'!$B$23),'APA Assumptions'!$B$24,0)</f>
        <v>0</v>
      </c>
      <c r="Y12" s="357" t="n">
        <f aca="false">IF(AND(Y$3&gt;='APA Assumptions'!$B$22,Y$3&lt;'APA Assumptions'!$B$22+'APA Assumptions'!$B$23),'APA Assumptions'!$B$24,0)</f>
        <v>0</v>
      </c>
      <c r="Z12" s="357" t="n">
        <f aca="false">IF(AND(Z$3&gt;='APA Assumptions'!$B$22,Z$3&lt;'APA Assumptions'!$B$22+'APA Assumptions'!$B$23),'APA Assumptions'!$B$24,0)</f>
        <v>0</v>
      </c>
      <c r="AA12" s="357" t="n">
        <f aca="false">IF(AND(AA$3&gt;='APA Assumptions'!$B$22,AA$3&lt;'APA Assumptions'!$B$22+'APA Assumptions'!$B$23),'APA Assumptions'!$B$24,0)</f>
        <v>0</v>
      </c>
      <c r="AB12" s="357" t="n">
        <f aca="false">IF(AND(AB$3&gt;='APA Assumptions'!$B$22,AB$3&lt;'APA Assumptions'!$B$22+'APA Assumptions'!$B$23),'APA Assumptions'!$B$24,0)</f>
        <v>0</v>
      </c>
      <c r="AC12" s="357" t="n">
        <f aca="false">IF(AND(AC$3&gt;='APA Assumptions'!$B$22,AC$3&lt;'APA Assumptions'!$B$22+'APA Assumptions'!$B$23),'APA Assumptions'!$B$24,0)</f>
        <v>0</v>
      </c>
      <c r="AD12" s="357" t="n">
        <f aca="false">IF(AND(AD$3&gt;='APA Assumptions'!$B$22,AD$3&lt;'APA Assumptions'!$B$22+'APA Assumptions'!$B$23),'APA Assumptions'!$B$24,0)</f>
        <v>0</v>
      </c>
      <c r="AE12" s="357" t="n">
        <f aca="false">IF(AND(AE$3&gt;='APA Assumptions'!$B$22,AE$3&lt;'APA Assumptions'!$B$22+'APA Assumptions'!$B$23),'APA Assumptions'!$B$24,0)</f>
        <v>0</v>
      </c>
      <c r="AF12" s="357" t="n">
        <f aca="false">IF(AND(AF$3&gt;='APA Assumptions'!$B$22,AF$3&lt;'APA Assumptions'!$B$22+'APA Assumptions'!$B$23),'APA Assumptions'!$B$24,0)</f>
        <v>0</v>
      </c>
      <c r="AG12" s="357" t="n">
        <f aca="false">IF(AND(AG$3&gt;='APA Assumptions'!$B$22,AG$3&lt;'APA Assumptions'!$B$22+'APA Assumptions'!$B$23),'APA Assumptions'!$B$24,0)</f>
        <v>0</v>
      </c>
      <c r="AH12" s="357" t="n">
        <f aca="false">IF(AND(AH$3&gt;='APA Assumptions'!$B$22,AH$3&lt;'APA Assumptions'!$B$22+'APA Assumptions'!$B$23),'APA Assumptions'!$B$24,0)</f>
        <v>0</v>
      </c>
      <c r="AI12" s="357" t="n">
        <f aca="false">IF(AND(AI$3&gt;='APA Assumptions'!$B$22,AI$3&lt;'APA Assumptions'!$B$22+'APA Assumptions'!$B$23),'APA Assumptions'!$B$24,0)</f>
        <v>0</v>
      </c>
      <c r="AJ12" s="357" t="n">
        <f aca="false">IF(AND(AJ$3&gt;='APA Assumptions'!$B$22,AJ$3&lt;'APA Assumptions'!$B$22+'APA Assumptions'!$B$23),'APA Assumptions'!$B$24,0)</f>
        <v>0</v>
      </c>
      <c r="AK12" s="357" t="n">
        <f aca="false">IF(AND(AK$3&gt;='APA Assumptions'!$B$22,AK$3&lt;'APA Assumptions'!$B$22+'APA Assumptions'!$B$23),'APA Assumptions'!$B$24,0)</f>
        <v>0</v>
      </c>
      <c r="AL12" s="357" t="n">
        <f aca="false">IF(AND(AL$3&gt;='APA Assumptions'!$B$22,AL$3&lt;'APA Assumptions'!$B$22+'APA Assumptions'!$B$23),'APA Assumptions'!$B$24,0)</f>
        <v>0</v>
      </c>
      <c r="AM12" s="357" t="n">
        <f aca="false">IF(AND(AM$3&gt;='APA Assumptions'!$B$22,AM$3&lt;'APA Assumptions'!$B$22+'APA Assumptions'!$B$23),'APA Assumptions'!$B$24,0)</f>
        <v>0</v>
      </c>
      <c r="AN12" s="357" t="n">
        <f aca="false">SUM(B12:AM12)</f>
        <v>600000</v>
      </c>
    </row>
    <row r="13" customFormat="false" ht="15" hidden="false" customHeight="true" outlineLevel="0" collapsed="false">
      <c r="A13" s="125" t="s">
        <v>1306</v>
      </c>
      <c r="B13" s="357" t="n">
        <f aca="false">IF(AND(B$3&gt;='APA Assumptions'!$B$26,B$3&lt;'APA Assumptions'!$B$26+'APA Assumptions'!$B$27),'APA Assumptions'!$B$25,0)</f>
        <v>0</v>
      </c>
      <c r="C13" s="357" t="n">
        <f aca="false">IF(AND(C$3&gt;='APA Assumptions'!$B$26,C$3&lt;'APA Assumptions'!$B$26+'APA Assumptions'!$B$27),'APA Assumptions'!$B$25,0)</f>
        <v>0</v>
      </c>
      <c r="D13" s="357" t="n">
        <f aca="false">IF(AND(D$3&gt;='APA Assumptions'!$B$26,D$3&lt;'APA Assumptions'!$B$26+'APA Assumptions'!$B$27),'APA Assumptions'!$B$25,0)</f>
        <v>0</v>
      </c>
      <c r="E13" s="357" t="n">
        <f aca="false">IF(AND(E$3&gt;='APA Assumptions'!$B$26,E$3&lt;'APA Assumptions'!$B$26+'APA Assumptions'!$B$27),'APA Assumptions'!$B$25,0)</f>
        <v>0</v>
      </c>
      <c r="F13" s="357" t="n">
        <f aca="false">IF(AND(F$3&gt;='APA Assumptions'!$B$26,F$3&lt;'APA Assumptions'!$B$26+'APA Assumptions'!$B$27),'APA Assumptions'!$B$25,0)</f>
        <v>0</v>
      </c>
      <c r="G13" s="357" t="n">
        <f aca="false">IF(AND(G$3&gt;='APA Assumptions'!$B$26,G$3&lt;'APA Assumptions'!$B$26+'APA Assumptions'!$B$27),'APA Assumptions'!$B$25,0)</f>
        <v>0</v>
      </c>
      <c r="H13" s="357" t="n">
        <f aca="false">IF(AND(H$3&gt;='APA Assumptions'!$B$26,H$3&lt;'APA Assumptions'!$B$26+'APA Assumptions'!$B$27),'APA Assumptions'!$B$25,0)</f>
        <v>0</v>
      </c>
      <c r="I13" s="357" t="n">
        <f aca="false">IF(AND(I$3&gt;='APA Assumptions'!$B$26,I$3&lt;'APA Assumptions'!$B$26+'APA Assumptions'!$B$27),'APA Assumptions'!$B$25,0)</f>
        <v>0</v>
      </c>
      <c r="J13" s="357" t="n">
        <f aca="false">IF(AND(J$3&gt;='APA Assumptions'!$B$26,J$3&lt;'APA Assumptions'!$B$26+'APA Assumptions'!$B$27),'APA Assumptions'!$B$25,0)</f>
        <v>0</v>
      </c>
      <c r="K13" s="357" t="n">
        <f aca="false">IF(AND(K$3&gt;='APA Assumptions'!$B$26,K$3&lt;'APA Assumptions'!$B$26+'APA Assumptions'!$B$27),'APA Assumptions'!$B$25,0)</f>
        <v>0</v>
      </c>
      <c r="L13" s="357" t="n">
        <f aca="false">IF(AND(L$3&gt;='APA Assumptions'!$B$26,L$3&lt;'APA Assumptions'!$B$26+'APA Assumptions'!$B$27),'APA Assumptions'!$B$25,0)</f>
        <v>0</v>
      </c>
      <c r="M13" s="357" t="n">
        <f aca="false">IF(AND(M$3&gt;='APA Assumptions'!$B$26,M$3&lt;'APA Assumptions'!$B$26+'APA Assumptions'!$B$27),'APA Assumptions'!$B$25,0)</f>
        <v>0</v>
      </c>
      <c r="N13" s="357" t="n">
        <f aca="false">IF(AND(N$3&gt;='APA Assumptions'!$B$26,N$3&lt;'APA Assumptions'!$B$26+'APA Assumptions'!$B$27),'APA Assumptions'!$B$25,0)</f>
        <v>0</v>
      </c>
      <c r="O13" s="357" t="n">
        <f aca="false">IF(AND(O$3&gt;='APA Assumptions'!$B$26,O$3&lt;'APA Assumptions'!$B$26+'APA Assumptions'!$B$27),'APA Assumptions'!$B$25,0)</f>
        <v>0</v>
      </c>
      <c r="P13" s="357" t="n">
        <f aca="false">IF(AND(P$3&gt;='APA Assumptions'!$B$26,P$3&lt;'APA Assumptions'!$B$26+'APA Assumptions'!$B$27),'APA Assumptions'!$B$25,0)</f>
        <v>0</v>
      </c>
      <c r="Q13" s="357" t="n">
        <f aca="false">IF(AND(Q$3&gt;='APA Assumptions'!$B$26,Q$3&lt;'APA Assumptions'!$B$26+'APA Assumptions'!$B$27),'APA Assumptions'!$B$25,0)</f>
        <v>0</v>
      </c>
      <c r="R13" s="357" t="n">
        <f aca="false">IF(AND(R$3&gt;='APA Assumptions'!$B$26,R$3&lt;'APA Assumptions'!$B$26+'APA Assumptions'!$B$27),'APA Assumptions'!$B$25,0)</f>
        <v>0</v>
      </c>
      <c r="S13" s="357" t="n">
        <f aca="false">IF(AND(S$3&gt;='APA Assumptions'!$B$26,S$3&lt;'APA Assumptions'!$B$26+'APA Assumptions'!$B$27),'APA Assumptions'!$B$25,0)</f>
        <v>0</v>
      </c>
      <c r="T13" s="357" t="n">
        <f aca="false">IF(AND(T$3&gt;='APA Assumptions'!$B$26,T$3&lt;'APA Assumptions'!$B$26+'APA Assumptions'!$B$27),'APA Assumptions'!$B$25,0)</f>
        <v>0</v>
      </c>
      <c r="U13" s="357" t="n">
        <f aca="false">IF(AND(U$3&gt;='APA Assumptions'!$B$26,U$3&lt;'APA Assumptions'!$B$26+'APA Assumptions'!$B$27),'APA Assumptions'!$B$25,0)</f>
        <v>0</v>
      </c>
      <c r="V13" s="357" t="n">
        <f aca="false">IF(AND(V$3&gt;='APA Assumptions'!$B$26,V$3&lt;'APA Assumptions'!$B$26+'APA Assumptions'!$B$27),'APA Assumptions'!$B$25,0)</f>
        <v>0</v>
      </c>
      <c r="W13" s="357" t="n">
        <f aca="false">IF(AND(W$3&gt;='APA Assumptions'!$B$26,W$3&lt;'APA Assumptions'!$B$26+'APA Assumptions'!$B$27),'APA Assumptions'!$B$25,0)</f>
        <v>2500</v>
      </c>
      <c r="X13" s="357" t="n">
        <f aca="false">IF(AND(X$3&gt;='APA Assumptions'!$B$26,X$3&lt;'APA Assumptions'!$B$26+'APA Assumptions'!$B$27),'APA Assumptions'!$B$25,0)</f>
        <v>2500</v>
      </c>
      <c r="Y13" s="357" t="n">
        <f aca="false">IF(AND(Y$3&gt;='APA Assumptions'!$B$26,Y$3&lt;'APA Assumptions'!$B$26+'APA Assumptions'!$B$27),'APA Assumptions'!$B$25,0)</f>
        <v>2500</v>
      </c>
      <c r="Z13" s="357" t="n">
        <f aca="false">IF(AND(Z$3&gt;='APA Assumptions'!$B$26,Z$3&lt;'APA Assumptions'!$B$26+'APA Assumptions'!$B$27),'APA Assumptions'!$B$25,0)</f>
        <v>2500</v>
      </c>
      <c r="AA13" s="357" t="n">
        <f aca="false">IF(AND(AA$3&gt;='APA Assumptions'!$B$26,AA$3&lt;'APA Assumptions'!$B$26+'APA Assumptions'!$B$27),'APA Assumptions'!$B$25,0)</f>
        <v>2500</v>
      </c>
      <c r="AB13" s="357" t="n">
        <f aca="false">IF(AND(AB$3&gt;='APA Assumptions'!$B$26,AB$3&lt;'APA Assumptions'!$B$26+'APA Assumptions'!$B$27),'APA Assumptions'!$B$25,0)</f>
        <v>2500</v>
      </c>
      <c r="AC13" s="357" t="n">
        <f aca="false">IF(AND(AC$3&gt;='APA Assumptions'!$B$26,AC$3&lt;'APA Assumptions'!$B$26+'APA Assumptions'!$B$27),'APA Assumptions'!$B$25,0)</f>
        <v>2500</v>
      </c>
      <c r="AD13" s="357" t="n">
        <f aca="false">IF(AND(AD$3&gt;='APA Assumptions'!$B$26,AD$3&lt;'APA Assumptions'!$B$26+'APA Assumptions'!$B$27),'APA Assumptions'!$B$25,0)</f>
        <v>2500</v>
      </c>
      <c r="AE13" s="357" t="n">
        <f aca="false">IF(AND(AE$3&gt;='APA Assumptions'!$B$26,AE$3&lt;'APA Assumptions'!$B$26+'APA Assumptions'!$B$27),'APA Assumptions'!$B$25,0)</f>
        <v>2500</v>
      </c>
      <c r="AF13" s="357" t="n">
        <f aca="false">IF(AND(AF$3&gt;='APA Assumptions'!$B$26,AF$3&lt;'APA Assumptions'!$B$26+'APA Assumptions'!$B$27),'APA Assumptions'!$B$25,0)</f>
        <v>2500</v>
      </c>
      <c r="AG13" s="357" t="n">
        <f aca="false">IF(AND(AG$3&gt;='APA Assumptions'!$B$26,AG$3&lt;'APA Assumptions'!$B$26+'APA Assumptions'!$B$27),'APA Assumptions'!$B$25,0)</f>
        <v>2500</v>
      </c>
      <c r="AH13" s="357" t="n">
        <f aca="false">IF(AND(AH$3&gt;='APA Assumptions'!$B$26,AH$3&lt;'APA Assumptions'!$B$26+'APA Assumptions'!$B$27),'APA Assumptions'!$B$25,0)</f>
        <v>2500</v>
      </c>
      <c r="AI13" s="357" t="n">
        <f aca="false">IF(AND(AI$3&gt;='APA Assumptions'!$B$26,AI$3&lt;'APA Assumptions'!$B$26+'APA Assumptions'!$B$27),'APA Assumptions'!$B$25,0)</f>
        <v>2500</v>
      </c>
      <c r="AJ13" s="357" t="n">
        <f aca="false">IF(AND(AJ$3&gt;='APA Assumptions'!$B$26,AJ$3&lt;'APA Assumptions'!$B$26+'APA Assumptions'!$B$27),'APA Assumptions'!$B$25,0)</f>
        <v>2500</v>
      </c>
      <c r="AK13" s="357" t="n">
        <f aca="false">IF(AND(AK$3&gt;='APA Assumptions'!$B$26,AK$3&lt;'APA Assumptions'!$B$26+'APA Assumptions'!$B$27),'APA Assumptions'!$B$25,0)</f>
        <v>2500</v>
      </c>
      <c r="AL13" s="357" t="n">
        <f aca="false">IF(AND(AL$3&gt;='APA Assumptions'!$B$26,AL$3&lt;'APA Assumptions'!$B$26+'APA Assumptions'!$B$27),'APA Assumptions'!$B$25,0)</f>
        <v>2500</v>
      </c>
      <c r="AM13" s="357" t="n">
        <f aca="false">IF(AND(AM$3&gt;='APA Assumptions'!$B$26,AM$3&lt;'APA Assumptions'!$B$26+'APA Assumptions'!$B$27),'APA Assumptions'!$B$25,0)</f>
        <v>2500</v>
      </c>
      <c r="AN13" s="357" t="n">
        <f aca="false">SUM(B13:AM13)</f>
        <v>42500</v>
      </c>
    </row>
    <row r="14" customFormat="false" ht="15" hidden="false" customHeight="true" outlineLevel="0" collapsed="false">
      <c r="A14" s="363" t="s">
        <v>1307</v>
      </c>
      <c r="B14" s="364" t="n">
        <f aca="false">SUM(B7:B13)</f>
        <v>25714.2857142857</v>
      </c>
      <c r="C14" s="364" t="n">
        <f aca="false">SUM(C7:C13)</f>
        <v>38408.2857142857</v>
      </c>
      <c r="D14" s="364" t="n">
        <f aca="false">SUM(D7:D13)</f>
        <v>38408.2857142857</v>
      </c>
      <c r="E14" s="364" t="n">
        <f aca="false">SUM(E7:E13)</f>
        <v>38408.2857142857</v>
      </c>
      <c r="F14" s="364" t="n">
        <f aca="false">SUM(F7:F13)</f>
        <v>38408.2857142857</v>
      </c>
      <c r="G14" s="364" t="n">
        <f aca="false">SUM(G7:G13)</f>
        <v>32908.2857142857</v>
      </c>
      <c r="H14" s="364" t="n">
        <f aca="false">SUM(H7:H13)</f>
        <v>80908.2857142857</v>
      </c>
      <c r="I14" s="364" t="n">
        <f aca="false">SUM(I7:I13)</f>
        <v>55194</v>
      </c>
      <c r="J14" s="364" t="n">
        <f aca="false">SUM(J7:J13)</f>
        <v>57694</v>
      </c>
      <c r="K14" s="364" t="n">
        <f aca="false">SUM(K7:K13)</f>
        <v>57694</v>
      </c>
      <c r="L14" s="364" t="n">
        <f aca="false">SUM(L7:L13)</f>
        <v>57694</v>
      </c>
      <c r="M14" s="364" t="n">
        <f aca="false">SUM(M7:M13)</f>
        <v>57694</v>
      </c>
      <c r="N14" s="364" t="n">
        <f aca="false">SUM(N7:N13)</f>
        <v>57694</v>
      </c>
      <c r="O14" s="364" t="n">
        <f aca="false">SUM(O7:O13)</f>
        <v>57694</v>
      </c>
      <c r="P14" s="364" t="n">
        <f aca="false">SUM(P7:P13)</f>
        <v>57694</v>
      </c>
      <c r="Q14" s="364" t="n">
        <f aca="false">SUM(Q7:Q13)</f>
        <v>57694</v>
      </c>
      <c r="R14" s="364" t="n">
        <f aca="false">SUM(R7:R13)</f>
        <v>55000</v>
      </c>
      <c r="S14" s="364" t="n">
        <f aca="false">SUM(S7:S13)</f>
        <v>55000</v>
      </c>
      <c r="T14" s="364" t="n">
        <f aca="false">SUM(T7:T13)</f>
        <v>5000</v>
      </c>
      <c r="U14" s="364" t="n">
        <f aca="false">SUM(U7:U13)</f>
        <v>5000</v>
      </c>
      <c r="V14" s="364" t="n">
        <f aca="false">SUM(V7:V13)</f>
        <v>5000</v>
      </c>
      <c r="W14" s="364" t="n">
        <f aca="false">SUM(W7:W13)</f>
        <v>7500</v>
      </c>
      <c r="X14" s="364" t="n">
        <f aca="false">SUM(X7:X13)</f>
        <v>7500</v>
      </c>
      <c r="Y14" s="364" t="n">
        <f aca="false">SUM(Y7:Y13)</f>
        <v>7500</v>
      </c>
      <c r="Z14" s="364" t="n">
        <f aca="false">SUM(Z7:Z13)</f>
        <v>7500</v>
      </c>
      <c r="AA14" s="364" t="n">
        <f aca="false">SUM(AA7:AA13)</f>
        <v>7500</v>
      </c>
      <c r="AB14" s="364" t="n">
        <f aca="false">SUM(AB7:AB13)</f>
        <v>7500</v>
      </c>
      <c r="AC14" s="364" t="n">
        <f aca="false">SUM(AC7:AC13)</f>
        <v>7500</v>
      </c>
      <c r="AD14" s="364" t="n">
        <f aca="false">SUM(AD7:AD13)</f>
        <v>7500</v>
      </c>
      <c r="AE14" s="364" t="n">
        <f aca="false">SUM(AE7:AE13)</f>
        <v>7500</v>
      </c>
      <c r="AF14" s="364" t="n">
        <f aca="false">SUM(AF7:AF13)</f>
        <v>7500</v>
      </c>
      <c r="AG14" s="364" t="n">
        <f aca="false">SUM(AG7:AG13)</f>
        <v>5000</v>
      </c>
      <c r="AH14" s="364" t="n">
        <f aca="false">SUM(AH7:AH13)</f>
        <v>5000</v>
      </c>
      <c r="AI14" s="364" t="n">
        <f aca="false">SUM(AI7:AI13)</f>
        <v>5000</v>
      </c>
      <c r="AJ14" s="364" t="n">
        <f aca="false">SUM(AJ7:AJ13)</f>
        <v>5000</v>
      </c>
      <c r="AK14" s="364" t="n">
        <f aca="false">SUM(AK7:AK13)</f>
        <v>5000</v>
      </c>
      <c r="AL14" s="364" t="n">
        <f aca="false">SUM(AL7:AL13)</f>
        <v>5000</v>
      </c>
      <c r="AM14" s="364" t="n">
        <f aca="false">SUM(AM7:AM13)</f>
        <v>5000</v>
      </c>
      <c r="AN14" s="364" t="n">
        <f aca="false">SUM(B14:AM14)</f>
        <v>1044910</v>
      </c>
    </row>
    <row r="16" customFormat="false" ht="15" hidden="false" customHeight="true" outlineLevel="0" collapsed="false">
      <c r="A16" s="23" t="s">
        <v>1278</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1308</v>
      </c>
      <c r="B17" s="357" t="n">
        <f aca="false">IF(B$3&gt;='APA Assumptions'!$B$31,'APA Assumptions'!$B$30,'APA Assumptions'!$B$29)</f>
        <v>12500</v>
      </c>
      <c r="C17" s="357" t="n">
        <f aca="false">IF(C$3&gt;='APA Assumptions'!$B$31,'APA Assumptions'!$B$30,'APA Assumptions'!$B$29)</f>
        <v>12500</v>
      </c>
      <c r="D17" s="357" t="n">
        <f aca="false">IF(D$3&gt;='APA Assumptions'!$B$31,'APA Assumptions'!$B$30,'APA Assumptions'!$B$29)</f>
        <v>12500</v>
      </c>
      <c r="E17" s="357" t="n">
        <f aca="false">IF(E$3&gt;='APA Assumptions'!$B$31,'APA Assumptions'!$B$30,'APA Assumptions'!$B$29)</f>
        <v>12500</v>
      </c>
      <c r="F17" s="357" t="n">
        <f aca="false">IF(F$3&gt;='APA Assumptions'!$B$31,'APA Assumptions'!$B$30,'APA Assumptions'!$B$29)</f>
        <v>12500</v>
      </c>
      <c r="G17" s="357" t="n">
        <f aca="false">IF(G$3&gt;='APA Assumptions'!$B$31,'APA Assumptions'!$B$30,'APA Assumptions'!$B$29)</f>
        <v>12500</v>
      </c>
      <c r="H17" s="357" t="n">
        <f aca="false">IF(H$3&gt;='APA Assumptions'!$B$31,'APA Assumptions'!$B$30,'APA Assumptions'!$B$29)</f>
        <v>18750</v>
      </c>
      <c r="I17" s="357" t="n">
        <f aca="false">IF(I$3&gt;='APA Assumptions'!$B$31,'APA Assumptions'!$B$30,'APA Assumptions'!$B$29)</f>
        <v>18750</v>
      </c>
      <c r="J17" s="357" t="n">
        <f aca="false">IF(J$3&gt;='APA Assumptions'!$B$31,'APA Assumptions'!$B$30,'APA Assumptions'!$B$29)</f>
        <v>18750</v>
      </c>
      <c r="K17" s="357" t="n">
        <f aca="false">IF(K$3&gt;='APA Assumptions'!$B$31,'APA Assumptions'!$B$30,'APA Assumptions'!$B$29)</f>
        <v>18750</v>
      </c>
      <c r="L17" s="357" t="n">
        <f aca="false">IF(L$3&gt;='APA Assumptions'!$B$31,'APA Assumptions'!$B$30,'APA Assumptions'!$B$29)</f>
        <v>18750</v>
      </c>
      <c r="M17" s="357" t="n">
        <f aca="false">IF(M$3&gt;='APA Assumptions'!$B$31,'APA Assumptions'!$B$30,'APA Assumptions'!$B$29)</f>
        <v>18750</v>
      </c>
      <c r="N17" s="357" t="n">
        <f aca="false">IF(N$3&gt;='APA Assumptions'!$B$31,'APA Assumptions'!$B$30,'APA Assumptions'!$B$29)</f>
        <v>18750</v>
      </c>
      <c r="O17" s="357" t="n">
        <f aca="false">IF(O$3&gt;='APA Assumptions'!$B$31,'APA Assumptions'!$B$30,'APA Assumptions'!$B$29)</f>
        <v>18750</v>
      </c>
      <c r="P17" s="357" t="n">
        <f aca="false">IF(P$3&gt;='APA Assumptions'!$B$31,'APA Assumptions'!$B$30,'APA Assumptions'!$B$29)</f>
        <v>18750</v>
      </c>
      <c r="Q17" s="357" t="n">
        <f aca="false">IF(Q$3&gt;='APA Assumptions'!$B$31,'APA Assumptions'!$B$30,'APA Assumptions'!$B$29)</f>
        <v>18750</v>
      </c>
      <c r="R17" s="357" t="n">
        <f aca="false">IF(R$3&gt;='APA Assumptions'!$B$31,'APA Assumptions'!$B$30,'APA Assumptions'!$B$29)</f>
        <v>18750</v>
      </c>
      <c r="S17" s="357" t="n">
        <f aca="false">IF(S$3&gt;='APA Assumptions'!$B$31,'APA Assumptions'!$B$30,'APA Assumptions'!$B$29)</f>
        <v>18750</v>
      </c>
      <c r="T17" s="357" t="n">
        <f aca="false">IF(T$3&gt;='APA Assumptions'!$B$31,'APA Assumptions'!$B$30,'APA Assumptions'!$B$29)</f>
        <v>18750</v>
      </c>
      <c r="U17" s="357" t="n">
        <f aca="false">IF(U$3&gt;='APA Assumptions'!$B$31,'APA Assumptions'!$B$30,'APA Assumptions'!$B$29)</f>
        <v>18750</v>
      </c>
      <c r="V17" s="357" t="n">
        <f aca="false">IF(V$3&gt;='APA Assumptions'!$B$31,'APA Assumptions'!$B$30,'APA Assumptions'!$B$29)</f>
        <v>18750</v>
      </c>
      <c r="W17" s="357" t="n">
        <f aca="false">IF(W$3&gt;='APA Assumptions'!$B$31,'APA Assumptions'!$B$30,'APA Assumptions'!$B$29)</f>
        <v>18750</v>
      </c>
      <c r="X17" s="357" t="n">
        <f aca="false">IF(X$3&gt;='APA Assumptions'!$B$31,'APA Assumptions'!$B$30,'APA Assumptions'!$B$29)</f>
        <v>18750</v>
      </c>
      <c r="Y17" s="357" t="n">
        <f aca="false">IF(Y$3&gt;='APA Assumptions'!$B$31,'APA Assumptions'!$B$30,'APA Assumptions'!$B$29)</f>
        <v>18750</v>
      </c>
      <c r="Z17" s="357" t="n">
        <f aca="false">IF(Z$3&gt;='APA Assumptions'!$B$31,'APA Assumptions'!$B$30,'APA Assumptions'!$B$29)</f>
        <v>18750</v>
      </c>
      <c r="AA17" s="357" t="n">
        <f aca="false">IF(AA$3&gt;='APA Assumptions'!$B$31,'APA Assumptions'!$B$30,'APA Assumptions'!$B$29)</f>
        <v>18750</v>
      </c>
      <c r="AB17" s="357" t="n">
        <f aca="false">IF(AB$3&gt;='APA Assumptions'!$B$31,'APA Assumptions'!$B$30,'APA Assumptions'!$B$29)</f>
        <v>18750</v>
      </c>
      <c r="AC17" s="357" t="n">
        <f aca="false">IF(AC$3&gt;='APA Assumptions'!$B$31,'APA Assumptions'!$B$30,'APA Assumptions'!$B$29)</f>
        <v>18750</v>
      </c>
      <c r="AD17" s="357" t="n">
        <f aca="false">IF(AD$3&gt;='APA Assumptions'!$B$31,'APA Assumptions'!$B$30,'APA Assumptions'!$B$29)</f>
        <v>18750</v>
      </c>
      <c r="AE17" s="357" t="n">
        <f aca="false">IF(AE$3&gt;='APA Assumptions'!$B$31,'APA Assumptions'!$B$30,'APA Assumptions'!$B$29)</f>
        <v>18750</v>
      </c>
      <c r="AF17" s="357" t="n">
        <f aca="false">IF(AF$3&gt;='APA Assumptions'!$B$31,'APA Assumptions'!$B$30,'APA Assumptions'!$B$29)</f>
        <v>18750</v>
      </c>
      <c r="AG17" s="357" t="n">
        <f aca="false">IF(AG$3&gt;='APA Assumptions'!$B$31,'APA Assumptions'!$B$30,'APA Assumptions'!$B$29)</f>
        <v>18750</v>
      </c>
      <c r="AH17" s="357" t="n">
        <f aca="false">IF(AH$3&gt;='APA Assumptions'!$B$31,'APA Assumptions'!$B$30,'APA Assumptions'!$B$29)</f>
        <v>18750</v>
      </c>
      <c r="AI17" s="357" t="n">
        <f aca="false">IF(AI$3&gt;='APA Assumptions'!$B$31,'APA Assumptions'!$B$30,'APA Assumptions'!$B$29)</f>
        <v>18750</v>
      </c>
      <c r="AJ17" s="357" t="n">
        <f aca="false">IF(AJ$3&gt;='APA Assumptions'!$B$31,'APA Assumptions'!$B$30,'APA Assumptions'!$B$29)</f>
        <v>18750</v>
      </c>
      <c r="AK17" s="357" t="n">
        <f aca="false">IF(AK$3&gt;='APA Assumptions'!$B$31,'APA Assumptions'!$B$30,'APA Assumptions'!$B$29)</f>
        <v>18750</v>
      </c>
      <c r="AL17" s="357" t="n">
        <f aca="false">IF(AL$3&gt;='APA Assumptions'!$B$31,'APA Assumptions'!$B$30,'APA Assumptions'!$B$29)</f>
        <v>18750</v>
      </c>
      <c r="AM17" s="357" t="n">
        <f aca="false">IF(AM$3&gt;='APA Assumptions'!$B$31,'APA Assumptions'!$B$30,'APA Assumptions'!$B$29)</f>
        <v>18750</v>
      </c>
      <c r="AN17" s="357" t="n">
        <f aca="false">SUM(B17:AM17)</f>
        <v>675000</v>
      </c>
    </row>
    <row r="18" customFormat="false" ht="15" hidden="false" customHeight="true" outlineLevel="0" collapsed="false">
      <c r="A18" s="125" t="s">
        <v>1309</v>
      </c>
      <c r="B18" s="357" t="n">
        <f aca="false">'APA Assumptions'!$B$32</f>
        <v>365</v>
      </c>
      <c r="C18" s="357" t="n">
        <f aca="false">'APA Assumptions'!$B$32</f>
        <v>365</v>
      </c>
      <c r="D18" s="357" t="n">
        <f aca="false">'APA Assumptions'!$B$32</f>
        <v>365</v>
      </c>
      <c r="E18" s="357" t="n">
        <f aca="false">'APA Assumptions'!$B$32</f>
        <v>365</v>
      </c>
      <c r="F18" s="357" t="n">
        <f aca="false">'APA Assumptions'!$B$32</f>
        <v>365</v>
      </c>
      <c r="G18" s="357" t="n">
        <f aca="false">'APA Assumptions'!$B$32</f>
        <v>365</v>
      </c>
      <c r="H18" s="357" t="n">
        <f aca="false">'APA Assumptions'!$B$32</f>
        <v>365</v>
      </c>
      <c r="I18" s="357" t="n">
        <f aca="false">'APA Assumptions'!$B$32</f>
        <v>365</v>
      </c>
      <c r="J18" s="357" t="n">
        <f aca="false">'APA Assumptions'!$B$32</f>
        <v>365</v>
      </c>
      <c r="K18" s="357" t="n">
        <f aca="false">'APA Assumptions'!$B$32</f>
        <v>365</v>
      </c>
      <c r="L18" s="357" t="n">
        <f aca="false">'APA Assumptions'!$B$32</f>
        <v>365</v>
      </c>
      <c r="M18" s="357" t="n">
        <f aca="false">'APA Assumptions'!$B$32</f>
        <v>365</v>
      </c>
      <c r="N18" s="357" t="n">
        <f aca="false">'APA Assumptions'!$B$32</f>
        <v>365</v>
      </c>
      <c r="O18" s="357" t="n">
        <f aca="false">'APA Assumptions'!$B$32</f>
        <v>365</v>
      </c>
      <c r="P18" s="357" t="n">
        <f aca="false">'APA Assumptions'!$B$32</f>
        <v>365</v>
      </c>
      <c r="Q18" s="357" t="n">
        <f aca="false">'APA Assumptions'!$B$32</f>
        <v>365</v>
      </c>
      <c r="R18" s="357" t="n">
        <f aca="false">'APA Assumptions'!$B$32</f>
        <v>365</v>
      </c>
      <c r="S18" s="357" t="n">
        <f aca="false">'APA Assumptions'!$B$32</f>
        <v>365</v>
      </c>
      <c r="T18" s="357" t="n">
        <f aca="false">'APA Assumptions'!$B$32</f>
        <v>365</v>
      </c>
      <c r="U18" s="357" t="n">
        <f aca="false">'APA Assumptions'!$B$32</f>
        <v>365</v>
      </c>
      <c r="V18" s="357" t="n">
        <f aca="false">'APA Assumptions'!$B$32</f>
        <v>365</v>
      </c>
      <c r="W18" s="357" t="n">
        <f aca="false">'APA Assumptions'!$B$32</f>
        <v>365</v>
      </c>
      <c r="X18" s="357" t="n">
        <f aca="false">'APA Assumptions'!$B$32</f>
        <v>365</v>
      </c>
      <c r="Y18" s="357" t="n">
        <f aca="false">'APA Assumptions'!$B$32</f>
        <v>365</v>
      </c>
      <c r="Z18" s="357" t="n">
        <f aca="false">'APA Assumptions'!$B$32</f>
        <v>365</v>
      </c>
      <c r="AA18" s="357" t="n">
        <f aca="false">'APA Assumptions'!$B$32</f>
        <v>365</v>
      </c>
      <c r="AB18" s="357" t="n">
        <f aca="false">'APA Assumptions'!$B$32</f>
        <v>365</v>
      </c>
      <c r="AC18" s="357" t="n">
        <f aca="false">'APA Assumptions'!$B$32</f>
        <v>365</v>
      </c>
      <c r="AD18" s="357" t="n">
        <f aca="false">'APA Assumptions'!$B$32</f>
        <v>365</v>
      </c>
      <c r="AE18" s="357" t="n">
        <f aca="false">'APA Assumptions'!$B$32</f>
        <v>365</v>
      </c>
      <c r="AF18" s="357" t="n">
        <f aca="false">'APA Assumptions'!$B$32</f>
        <v>365</v>
      </c>
      <c r="AG18" s="357" t="n">
        <f aca="false">'APA Assumptions'!$B$32</f>
        <v>365</v>
      </c>
      <c r="AH18" s="357" t="n">
        <f aca="false">'APA Assumptions'!$B$32</f>
        <v>365</v>
      </c>
      <c r="AI18" s="357" t="n">
        <f aca="false">'APA Assumptions'!$B$32</f>
        <v>365</v>
      </c>
      <c r="AJ18" s="357" t="n">
        <f aca="false">'APA Assumptions'!$B$32</f>
        <v>365</v>
      </c>
      <c r="AK18" s="357" t="n">
        <f aca="false">'APA Assumptions'!$B$32</f>
        <v>365</v>
      </c>
      <c r="AL18" s="357" t="n">
        <f aca="false">'APA Assumptions'!$B$32</f>
        <v>365</v>
      </c>
      <c r="AM18" s="357" t="n">
        <f aca="false">'APA Assumptions'!$B$32</f>
        <v>365</v>
      </c>
      <c r="AN18" s="357" t="n">
        <f aca="false">SUM(B18:AM18)</f>
        <v>13870</v>
      </c>
    </row>
    <row r="19" customFormat="false" ht="15" hidden="false" customHeight="true" outlineLevel="0" collapsed="false">
      <c r="A19" s="125" t="s">
        <v>1310</v>
      </c>
      <c r="B19" s="357" t="n">
        <f aca="false">IF(MOD(B$3-1,12)=0,'APA Assumptions'!$B$33,0)</f>
        <v>8000</v>
      </c>
      <c r="C19" s="357" t="n">
        <f aca="false">IF(MOD(C$3-1,12)=0,'APA Assumptions'!$B$33,0)</f>
        <v>0</v>
      </c>
      <c r="D19" s="357" t="n">
        <f aca="false">IF(MOD(D$3-1,12)=0,'APA Assumptions'!$B$33,0)</f>
        <v>0</v>
      </c>
      <c r="E19" s="357" t="n">
        <f aca="false">IF(MOD(E$3-1,12)=0,'APA Assumptions'!$B$33,0)</f>
        <v>0</v>
      </c>
      <c r="F19" s="357" t="n">
        <f aca="false">IF(MOD(F$3-1,12)=0,'APA Assumptions'!$B$33,0)</f>
        <v>0</v>
      </c>
      <c r="G19" s="357" t="n">
        <f aca="false">IF(MOD(G$3-1,12)=0,'APA Assumptions'!$B$33,0)</f>
        <v>0</v>
      </c>
      <c r="H19" s="357" t="n">
        <f aca="false">IF(MOD(H$3-1,12)=0,'APA Assumptions'!$B$33,0)</f>
        <v>0</v>
      </c>
      <c r="I19" s="357" t="n">
        <f aca="false">IF(MOD(I$3-1,12)=0,'APA Assumptions'!$B$33,0)</f>
        <v>0</v>
      </c>
      <c r="J19" s="357" t="n">
        <f aca="false">IF(MOD(J$3-1,12)=0,'APA Assumptions'!$B$33,0)</f>
        <v>0</v>
      </c>
      <c r="K19" s="357" t="n">
        <f aca="false">IF(MOD(K$3-1,12)=0,'APA Assumptions'!$B$33,0)</f>
        <v>0</v>
      </c>
      <c r="L19" s="357" t="n">
        <f aca="false">IF(MOD(L$3-1,12)=0,'APA Assumptions'!$B$33,0)</f>
        <v>0</v>
      </c>
      <c r="M19" s="357" t="n">
        <f aca="false">IF(MOD(M$3-1,12)=0,'APA Assumptions'!$B$33,0)</f>
        <v>0</v>
      </c>
      <c r="N19" s="357" t="n">
        <f aca="false">IF(MOD(N$3-1,12)=0,'APA Assumptions'!$B$33,0)</f>
        <v>8000</v>
      </c>
      <c r="O19" s="357" t="n">
        <f aca="false">IF(MOD(O$3-1,12)=0,'APA Assumptions'!$B$33,0)</f>
        <v>0</v>
      </c>
      <c r="P19" s="357" t="n">
        <f aca="false">IF(MOD(P$3-1,12)=0,'APA Assumptions'!$B$33,0)</f>
        <v>0</v>
      </c>
      <c r="Q19" s="357" t="n">
        <f aca="false">IF(MOD(Q$3-1,12)=0,'APA Assumptions'!$B$33,0)</f>
        <v>0</v>
      </c>
      <c r="R19" s="357" t="n">
        <f aca="false">IF(MOD(R$3-1,12)=0,'APA Assumptions'!$B$33,0)</f>
        <v>0</v>
      </c>
      <c r="S19" s="357" t="n">
        <f aca="false">IF(MOD(S$3-1,12)=0,'APA Assumptions'!$B$33,0)</f>
        <v>0</v>
      </c>
      <c r="T19" s="357" t="n">
        <f aca="false">IF(MOD(T$3-1,12)=0,'APA Assumptions'!$B$33,0)</f>
        <v>0</v>
      </c>
      <c r="U19" s="357" t="n">
        <f aca="false">IF(MOD(U$3-1,12)=0,'APA Assumptions'!$B$33,0)</f>
        <v>0</v>
      </c>
      <c r="V19" s="357" t="n">
        <f aca="false">IF(MOD(V$3-1,12)=0,'APA Assumptions'!$B$33,0)</f>
        <v>0</v>
      </c>
      <c r="W19" s="357" t="n">
        <f aca="false">IF(MOD(W$3-1,12)=0,'APA Assumptions'!$B$33,0)</f>
        <v>0</v>
      </c>
      <c r="X19" s="357" t="n">
        <f aca="false">IF(MOD(X$3-1,12)=0,'APA Assumptions'!$B$33,0)</f>
        <v>0</v>
      </c>
      <c r="Y19" s="357" t="n">
        <f aca="false">IF(MOD(Y$3-1,12)=0,'APA Assumptions'!$B$33,0)</f>
        <v>0</v>
      </c>
      <c r="Z19" s="357" t="n">
        <f aca="false">IF(MOD(Z$3-1,12)=0,'APA Assumptions'!$B$33,0)</f>
        <v>8000</v>
      </c>
      <c r="AA19" s="357" t="n">
        <f aca="false">IF(MOD(AA$3-1,12)=0,'APA Assumptions'!$B$33,0)</f>
        <v>0</v>
      </c>
      <c r="AB19" s="357" t="n">
        <f aca="false">IF(MOD(AB$3-1,12)=0,'APA Assumptions'!$B$33,0)</f>
        <v>0</v>
      </c>
      <c r="AC19" s="357" t="n">
        <f aca="false">IF(MOD(AC$3-1,12)=0,'APA Assumptions'!$B$33,0)</f>
        <v>0</v>
      </c>
      <c r="AD19" s="357" t="n">
        <f aca="false">IF(MOD(AD$3-1,12)=0,'APA Assumptions'!$B$33,0)</f>
        <v>0</v>
      </c>
      <c r="AE19" s="357" t="n">
        <f aca="false">IF(MOD(AE$3-1,12)=0,'APA Assumptions'!$B$33,0)</f>
        <v>0</v>
      </c>
      <c r="AF19" s="357" t="n">
        <f aca="false">IF(MOD(AF$3-1,12)=0,'APA Assumptions'!$B$33,0)</f>
        <v>0</v>
      </c>
      <c r="AG19" s="357" t="n">
        <f aca="false">IF(MOD(AG$3-1,12)=0,'APA Assumptions'!$B$33,0)</f>
        <v>0</v>
      </c>
      <c r="AH19" s="357" t="n">
        <f aca="false">IF(MOD(AH$3-1,12)=0,'APA Assumptions'!$B$33,0)</f>
        <v>0</v>
      </c>
      <c r="AI19" s="357" t="n">
        <f aca="false">IF(MOD(AI$3-1,12)=0,'APA Assumptions'!$B$33,0)</f>
        <v>0</v>
      </c>
      <c r="AJ19" s="357" t="n">
        <f aca="false">IF(MOD(AJ$3-1,12)=0,'APA Assumptions'!$B$33,0)</f>
        <v>0</v>
      </c>
      <c r="AK19" s="357" t="n">
        <f aca="false">IF(MOD(AK$3-1,12)=0,'APA Assumptions'!$B$33,0)</f>
        <v>0</v>
      </c>
      <c r="AL19" s="357" t="n">
        <f aca="false">IF(MOD(AL$3-1,12)=0,'APA Assumptions'!$B$33,0)</f>
        <v>8000</v>
      </c>
      <c r="AM19" s="357" t="n">
        <f aca="false">IF(MOD(AM$3-1,12)=0,'APA Assumptions'!$B$33,0)</f>
        <v>0</v>
      </c>
      <c r="AN19" s="357" t="n">
        <f aca="false">SUM(B19:AM19)</f>
        <v>32000</v>
      </c>
    </row>
    <row r="20" customFormat="false" ht="15" hidden="false" customHeight="true" outlineLevel="0" collapsed="false">
      <c r="A20" s="125" t="s">
        <v>1311</v>
      </c>
      <c r="B20" s="357" t="n">
        <f aca="false">IF(B$3='APA Assumptions'!$B$36,'APA Assumptions'!$B$34+'APA Assumptions'!$B$35,0)</f>
        <v>0</v>
      </c>
      <c r="C20" s="357" t="n">
        <f aca="false">IF(C$3='APA Assumptions'!$B$36,'APA Assumptions'!$B$34+'APA Assumptions'!$B$35,0)</f>
        <v>7500</v>
      </c>
      <c r="D20" s="357" t="n">
        <f aca="false">IF(D$3='APA Assumptions'!$B$36,'APA Assumptions'!$B$34+'APA Assumptions'!$B$35,0)</f>
        <v>0</v>
      </c>
      <c r="E20" s="357" t="n">
        <f aca="false">IF(E$3='APA Assumptions'!$B$36,'APA Assumptions'!$B$34+'APA Assumptions'!$B$35,0)</f>
        <v>0</v>
      </c>
      <c r="F20" s="357" t="n">
        <f aca="false">IF(F$3='APA Assumptions'!$B$36,'APA Assumptions'!$B$34+'APA Assumptions'!$B$35,0)</f>
        <v>0</v>
      </c>
      <c r="G20" s="357" t="n">
        <f aca="false">IF(G$3='APA Assumptions'!$B$36,'APA Assumptions'!$B$34+'APA Assumptions'!$B$35,0)</f>
        <v>0</v>
      </c>
      <c r="H20" s="357" t="n">
        <f aca="false">IF(H$3='APA Assumptions'!$B$36,'APA Assumptions'!$B$34+'APA Assumptions'!$B$35,0)</f>
        <v>0</v>
      </c>
      <c r="I20" s="357" t="n">
        <f aca="false">IF(I$3='APA Assumptions'!$B$36,'APA Assumptions'!$B$34+'APA Assumptions'!$B$35,0)</f>
        <v>0</v>
      </c>
      <c r="J20" s="357" t="n">
        <f aca="false">IF(J$3='APA Assumptions'!$B$36,'APA Assumptions'!$B$34+'APA Assumptions'!$B$35,0)</f>
        <v>0</v>
      </c>
      <c r="K20" s="357" t="n">
        <f aca="false">IF(K$3='APA Assumptions'!$B$36,'APA Assumptions'!$B$34+'APA Assumptions'!$B$35,0)</f>
        <v>0</v>
      </c>
      <c r="L20" s="357" t="n">
        <f aca="false">IF(L$3='APA Assumptions'!$B$36,'APA Assumptions'!$B$34+'APA Assumptions'!$B$35,0)</f>
        <v>0</v>
      </c>
      <c r="M20" s="357" t="n">
        <f aca="false">IF(M$3='APA Assumptions'!$B$36,'APA Assumptions'!$B$34+'APA Assumptions'!$B$35,0)</f>
        <v>0</v>
      </c>
      <c r="N20" s="357" t="n">
        <f aca="false">IF(N$3='APA Assumptions'!$B$36,'APA Assumptions'!$B$34+'APA Assumptions'!$B$35,0)</f>
        <v>0</v>
      </c>
      <c r="O20" s="357" t="n">
        <f aca="false">IF(O$3='APA Assumptions'!$B$36,'APA Assumptions'!$B$34+'APA Assumptions'!$B$35,0)</f>
        <v>0</v>
      </c>
      <c r="P20" s="357" t="n">
        <f aca="false">IF(P$3='APA Assumptions'!$B$36,'APA Assumptions'!$B$34+'APA Assumptions'!$B$35,0)</f>
        <v>0</v>
      </c>
      <c r="Q20" s="357" t="n">
        <f aca="false">IF(Q$3='APA Assumptions'!$B$36,'APA Assumptions'!$B$34+'APA Assumptions'!$B$35,0)</f>
        <v>0</v>
      </c>
      <c r="R20" s="357" t="n">
        <f aca="false">IF(R$3='APA Assumptions'!$B$36,'APA Assumptions'!$B$34+'APA Assumptions'!$B$35,0)</f>
        <v>0</v>
      </c>
      <c r="S20" s="357" t="n">
        <f aca="false">IF(S$3='APA Assumptions'!$B$36,'APA Assumptions'!$B$34+'APA Assumptions'!$B$35,0)</f>
        <v>0</v>
      </c>
      <c r="T20" s="357" t="n">
        <f aca="false">IF(T$3='APA Assumptions'!$B$36,'APA Assumptions'!$B$34+'APA Assumptions'!$B$35,0)</f>
        <v>0</v>
      </c>
      <c r="U20" s="357" t="n">
        <f aca="false">IF(U$3='APA Assumptions'!$B$36,'APA Assumptions'!$B$34+'APA Assumptions'!$B$35,0)</f>
        <v>0</v>
      </c>
      <c r="V20" s="357" t="n">
        <f aca="false">IF(V$3='APA Assumptions'!$B$36,'APA Assumptions'!$B$34+'APA Assumptions'!$B$35,0)</f>
        <v>0</v>
      </c>
      <c r="W20" s="357" t="n">
        <f aca="false">IF(W$3='APA Assumptions'!$B$36,'APA Assumptions'!$B$34+'APA Assumptions'!$B$35,0)</f>
        <v>0</v>
      </c>
      <c r="X20" s="357" t="n">
        <f aca="false">IF(X$3='APA Assumptions'!$B$36,'APA Assumptions'!$B$34+'APA Assumptions'!$B$35,0)</f>
        <v>0</v>
      </c>
      <c r="Y20" s="357" t="n">
        <f aca="false">IF(Y$3='APA Assumptions'!$B$36,'APA Assumptions'!$B$34+'APA Assumptions'!$B$35,0)</f>
        <v>0</v>
      </c>
      <c r="Z20" s="357" t="n">
        <f aca="false">IF(Z$3='APA Assumptions'!$B$36,'APA Assumptions'!$B$34+'APA Assumptions'!$B$35,0)</f>
        <v>0</v>
      </c>
      <c r="AA20" s="357" t="n">
        <f aca="false">IF(AA$3='APA Assumptions'!$B$36,'APA Assumptions'!$B$34+'APA Assumptions'!$B$35,0)</f>
        <v>0</v>
      </c>
      <c r="AB20" s="357" t="n">
        <f aca="false">IF(AB$3='APA Assumptions'!$B$36,'APA Assumptions'!$B$34+'APA Assumptions'!$B$35,0)</f>
        <v>0</v>
      </c>
      <c r="AC20" s="357" t="n">
        <f aca="false">IF(AC$3='APA Assumptions'!$B$36,'APA Assumptions'!$B$34+'APA Assumptions'!$B$35,0)</f>
        <v>0</v>
      </c>
      <c r="AD20" s="357" t="n">
        <f aca="false">IF(AD$3='APA Assumptions'!$B$36,'APA Assumptions'!$B$34+'APA Assumptions'!$B$35,0)</f>
        <v>0</v>
      </c>
      <c r="AE20" s="357" t="n">
        <f aca="false">IF(AE$3='APA Assumptions'!$B$36,'APA Assumptions'!$B$34+'APA Assumptions'!$B$35,0)</f>
        <v>0</v>
      </c>
      <c r="AF20" s="357" t="n">
        <f aca="false">IF(AF$3='APA Assumptions'!$B$36,'APA Assumptions'!$B$34+'APA Assumptions'!$B$35,0)</f>
        <v>0</v>
      </c>
      <c r="AG20" s="357" t="n">
        <f aca="false">IF(AG$3='APA Assumptions'!$B$36,'APA Assumptions'!$B$34+'APA Assumptions'!$B$35,0)</f>
        <v>0</v>
      </c>
      <c r="AH20" s="357" t="n">
        <f aca="false">IF(AH$3='APA Assumptions'!$B$36,'APA Assumptions'!$B$34+'APA Assumptions'!$B$35,0)</f>
        <v>0</v>
      </c>
      <c r="AI20" s="357" t="n">
        <f aca="false">IF(AI$3='APA Assumptions'!$B$36,'APA Assumptions'!$B$34+'APA Assumptions'!$B$35,0)</f>
        <v>0</v>
      </c>
      <c r="AJ20" s="357" t="n">
        <f aca="false">IF(AJ$3='APA Assumptions'!$B$36,'APA Assumptions'!$B$34+'APA Assumptions'!$B$35,0)</f>
        <v>0</v>
      </c>
      <c r="AK20" s="357" t="n">
        <f aca="false">IF(AK$3='APA Assumptions'!$B$36,'APA Assumptions'!$B$34+'APA Assumptions'!$B$35,0)</f>
        <v>0</v>
      </c>
      <c r="AL20" s="357" t="n">
        <f aca="false">IF(AL$3='APA Assumptions'!$B$36,'APA Assumptions'!$B$34+'APA Assumptions'!$B$35,0)</f>
        <v>0</v>
      </c>
      <c r="AM20" s="357" t="n">
        <f aca="false">IF(AM$3='APA Assumptions'!$B$36,'APA Assumptions'!$B$34+'APA Assumptions'!$B$35,0)</f>
        <v>0</v>
      </c>
      <c r="AN20" s="357" t="n">
        <f aca="false">SUM(B20:AM20)</f>
        <v>7500</v>
      </c>
    </row>
    <row r="21" customFormat="false" ht="15" hidden="false" customHeight="true" outlineLevel="0" collapsed="false">
      <c r="A21" s="363" t="s">
        <v>1312</v>
      </c>
      <c r="B21" s="364" t="n">
        <f aca="false">SUM(B17:B20)</f>
        <v>20865</v>
      </c>
      <c r="C21" s="364" t="n">
        <f aca="false">SUM(C17:C20)</f>
        <v>20365</v>
      </c>
      <c r="D21" s="364" t="n">
        <f aca="false">SUM(D17:D20)</f>
        <v>12865</v>
      </c>
      <c r="E21" s="364" t="n">
        <f aca="false">SUM(E17:E20)</f>
        <v>12865</v>
      </c>
      <c r="F21" s="364" t="n">
        <f aca="false">SUM(F17:F20)</f>
        <v>12865</v>
      </c>
      <c r="G21" s="364" t="n">
        <f aca="false">SUM(G17:G20)</f>
        <v>12865</v>
      </c>
      <c r="H21" s="364" t="n">
        <f aca="false">SUM(H17:H20)</f>
        <v>19115</v>
      </c>
      <c r="I21" s="364" t="n">
        <f aca="false">SUM(I17:I20)</f>
        <v>19115</v>
      </c>
      <c r="J21" s="364" t="n">
        <f aca="false">SUM(J17:J20)</f>
        <v>19115</v>
      </c>
      <c r="K21" s="364" t="n">
        <f aca="false">SUM(K17:K20)</f>
        <v>19115</v>
      </c>
      <c r="L21" s="364" t="n">
        <f aca="false">SUM(L17:L20)</f>
        <v>19115</v>
      </c>
      <c r="M21" s="364" t="n">
        <f aca="false">SUM(M17:M20)</f>
        <v>19115</v>
      </c>
      <c r="N21" s="364" t="n">
        <f aca="false">SUM(N17:N20)</f>
        <v>27115</v>
      </c>
      <c r="O21" s="364" t="n">
        <f aca="false">SUM(O17:O20)</f>
        <v>19115</v>
      </c>
      <c r="P21" s="364" t="n">
        <f aca="false">SUM(P17:P20)</f>
        <v>19115</v>
      </c>
      <c r="Q21" s="364" t="n">
        <f aca="false">SUM(Q17:Q20)</f>
        <v>19115</v>
      </c>
      <c r="R21" s="364" t="n">
        <f aca="false">SUM(R17:R20)</f>
        <v>19115</v>
      </c>
      <c r="S21" s="364" t="n">
        <f aca="false">SUM(S17:S20)</f>
        <v>19115</v>
      </c>
      <c r="T21" s="364" t="n">
        <f aca="false">SUM(T17:T20)</f>
        <v>19115</v>
      </c>
      <c r="U21" s="364" t="n">
        <f aca="false">SUM(U17:U20)</f>
        <v>19115</v>
      </c>
      <c r="V21" s="364" t="n">
        <f aca="false">SUM(V17:V20)</f>
        <v>19115</v>
      </c>
      <c r="W21" s="364" t="n">
        <f aca="false">SUM(W17:W20)</f>
        <v>19115</v>
      </c>
      <c r="X21" s="364" t="n">
        <f aca="false">SUM(X17:X20)</f>
        <v>19115</v>
      </c>
      <c r="Y21" s="364" t="n">
        <f aca="false">SUM(Y17:Y20)</f>
        <v>19115</v>
      </c>
      <c r="Z21" s="364" t="n">
        <f aca="false">SUM(Z17:Z20)</f>
        <v>27115</v>
      </c>
      <c r="AA21" s="364" t="n">
        <f aca="false">SUM(AA17:AA20)</f>
        <v>19115</v>
      </c>
      <c r="AB21" s="364" t="n">
        <f aca="false">SUM(AB17:AB20)</f>
        <v>19115</v>
      </c>
      <c r="AC21" s="364" t="n">
        <f aca="false">SUM(AC17:AC20)</f>
        <v>19115</v>
      </c>
      <c r="AD21" s="364" t="n">
        <f aca="false">SUM(AD17:AD20)</f>
        <v>19115</v>
      </c>
      <c r="AE21" s="364" t="n">
        <f aca="false">SUM(AE17:AE20)</f>
        <v>19115</v>
      </c>
      <c r="AF21" s="364" t="n">
        <f aca="false">SUM(AF17:AF20)</f>
        <v>19115</v>
      </c>
      <c r="AG21" s="364" t="n">
        <f aca="false">SUM(AG17:AG20)</f>
        <v>19115</v>
      </c>
      <c r="AH21" s="364" t="n">
        <f aca="false">SUM(AH17:AH20)</f>
        <v>19115</v>
      </c>
      <c r="AI21" s="364" t="n">
        <f aca="false">SUM(AI17:AI20)</f>
        <v>19115</v>
      </c>
      <c r="AJ21" s="364" t="n">
        <f aca="false">SUM(AJ17:AJ20)</f>
        <v>19115</v>
      </c>
      <c r="AK21" s="364" t="n">
        <f aca="false">SUM(AK17:AK20)</f>
        <v>19115</v>
      </c>
      <c r="AL21" s="364" t="n">
        <f aca="false">SUM(AL17:AL20)</f>
        <v>27115</v>
      </c>
      <c r="AM21" s="364" t="n">
        <f aca="false">SUM(AM17:AM20)</f>
        <v>19115</v>
      </c>
      <c r="AN21" s="364" t="n">
        <f aca="false">SUM(B21:AM21)</f>
        <v>728370</v>
      </c>
    </row>
    <row r="23" customFormat="false" ht="15" hidden="false" customHeight="true" outlineLevel="0" collapsed="false">
      <c r="A23" s="365" t="s">
        <v>1313</v>
      </c>
      <c r="B23" s="366" t="n">
        <f aca="false">B14-B21</f>
        <v>4849.28571428571</v>
      </c>
      <c r="C23" s="366" t="n">
        <f aca="false">C14-C21</f>
        <v>18043.2857142857</v>
      </c>
      <c r="D23" s="366" t="n">
        <f aca="false">D14-D21</f>
        <v>25543.2857142857</v>
      </c>
      <c r="E23" s="366" t="n">
        <f aca="false">E14-E21</f>
        <v>25543.2857142857</v>
      </c>
      <c r="F23" s="366" t="n">
        <f aca="false">F14-F21</f>
        <v>25543.2857142857</v>
      </c>
      <c r="G23" s="366" t="n">
        <f aca="false">G14-G21</f>
        <v>20043.2857142857</v>
      </c>
      <c r="H23" s="366" t="n">
        <f aca="false">H14-H21</f>
        <v>61793.2857142857</v>
      </c>
      <c r="I23" s="366" t="n">
        <f aca="false">I14-I21</f>
        <v>36079</v>
      </c>
      <c r="J23" s="366" t="n">
        <f aca="false">J14-J21</f>
        <v>38579</v>
      </c>
      <c r="K23" s="366" t="n">
        <f aca="false">K14-K21</f>
        <v>38579</v>
      </c>
      <c r="L23" s="366" t="n">
        <f aca="false">L14-L21</f>
        <v>38579</v>
      </c>
      <c r="M23" s="366" t="n">
        <f aca="false">M14-M21</f>
        <v>38579</v>
      </c>
      <c r="N23" s="366" t="n">
        <f aca="false">N14-N21</f>
        <v>30579</v>
      </c>
      <c r="O23" s="366" t="n">
        <f aca="false">O14-O21</f>
        <v>38579</v>
      </c>
      <c r="P23" s="366" t="n">
        <f aca="false">P14-P21</f>
        <v>38579</v>
      </c>
      <c r="Q23" s="366" t="n">
        <f aca="false">Q14-Q21</f>
        <v>38579</v>
      </c>
      <c r="R23" s="366" t="n">
        <f aca="false">R14-R21</f>
        <v>35885</v>
      </c>
      <c r="S23" s="366" t="n">
        <f aca="false">S14-S21</f>
        <v>35885</v>
      </c>
      <c r="T23" s="366" t="n">
        <f aca="false">T14-T21</f>
        <v>-14115</v>
      </c>
      <c r="U23" s="366" t="n">
        <f aca="false">U14-U21</f>
        <v>-14115</v>
      </c>
      <c r="V23" s="366" t="n">
        <f aca="false">V14-V21</f>
        <v>-14115</v>
      </c>
      <c r="W23" s="366" t="n">
        <f aca="false">W14-W21</f>
        <v>-11615</v>
      </c>
      <c r="X23" s="366" t="n">
        <f aca="false">X14-X21</f>
        <v>-11615</v>
      </c>
      <c r="Y23" s="366" t="n">
        <f aca="false">Y14-Y21</f>
        <v>-11615</v>
      </c>
      <c r="Z23" s="366" t="n">
        <f aca="false">Z14-Z21</f>
        <v>-19615</v>
      </c>
      <c r="AA23" s="366" t="n">
        <f aca="false">AA14-AA21</f>
        <v>-11615</v>
      </c>
      <c r="AB23" s="366" t="n">
        <f aca="false">AB14-AB21</f>
        <v>-11615</v>
      </c>
      <c r="AC23" s="366" t="n">
        <f aca="false">AC14-AC21</f>
        <v>-11615</v>
      </c>
      <c r="AD23" s="366" t="n">
        <f aca="false">AD14-AD21</f>
        <v>-11615</v>
      </c>
      <c r="AE23" s="366" t="n">
        <f aca="false">AE14-AE21</f>
        <v>-11615</v>
      </c>
      <c r="AF23" s="366" t="n">
        <f aca="false">AF14-AF21</f>
        <v>-11615</v>
      </c>
      <c r="AG23" s="366" t="n">
        <f aca="false">AG14-AG21</f>
        <v>-14115</v>
      </c>
      <c r="AH23" s="366" t="n">
        <f aca="false">AH14-AH21</f>
        <v>-14115</v>
      </c>
      <c r="AI23" s="366" t="n">
        <f aca="false">AI14-AI21</f>
        <v>-14115</v>
      </c>
      <c r="AJ23" s="366" t="n">
        <f aca="false">AJ14-AJ21</f>
        <v>-14115</v>
      </c>
      <c r="AK23" s="366" t="n">
        <f aca="false">AK14-AK21</f>
        <v>-14115</v>
      </c>
      <c r="AL23" s="366" t="n">
        <f aca="false">AL14-AL21</f>
        <v>-22115</v>
      </c>
      <c r="AM23" s="366" t="n">
        <f aca="false">AM14-AM21</f>
        <v>-14115</v>
      </c>
      <c r="AN23" s="366" t="n">
        <f aca="false">AN14-AN21</f>
        <v>316540</v>
      </c>
    </row>
    <row r="24" customFormat="false" ht="15" hidden="false" customHeight="true" outlineLevel="0" collapsed="false">
      <c r="A24" s="125" t="s">
        <v>1314</v>
      </c>
      <c r="B24" s="357" t="n">
        <f aca="false">B23</f>
        <v>4849.28571428571</v>
      </c>
      <c r="C24" s="357" t="n">
        <f aca="false">B24+C23</f>
        <v>22892.5714285714</v>
      </c>
      <c r="D24" s="357" t="n">
        <f aca="false">C24+D23</f>
        <v>48435.8571428571</v>
      </c>
      <c r="E24" s="357" t="n">
        <f aca="false">D24+E23</f>
        <v>73979.1428571428</v>
      </c>
      <c r="F24" s="357" t="n">
        <f aca="false">E24+F23</f>
        <v>99522.4285714286</v>
      </c>
      <c r="G24" s="357" t="n">
        <f aca="false">F24+G23</f>
        <v>119565.714285714</v>
      </c>
      <c r="H24" s="357" t="n">
        <f aca="false">G24+H23</f>
        <v>181359</v>
      </c>
      <c r="I24" s="357" t="n">
        <f aca="false">H24+I23</f>
        <v>217438</v>
      </c>
      <c r="J24" s="357" t="n">
        <f aca="false">I24+J23</f>
        <v>256017</v>
      </c>
      <c r="K24" s="357" t="n">
        <f aca="false">J24+K23</f>
        <v>294596</v>
      </c>
      <c r="L24" s="357" t="n">
        <f aca="false">K24+L23</f>
        <v>333175</v>
      </c>
      <c r="M24" s="357" t="n">
        <f aca="false">L24+M23</f>
        <v>371754</v>
      </c>
      <c r="N24" s="357" t="n">
        <f aca="false">M24+N23</f>
        <v>402333</v>
      </c>
      <c r="O24" s="357" t="n">
        <f aca="false">N24+O23</f>
        <v>440912</v>
      </c>
      <c r="P24" s="357" t="n">
        <f aca="false">O24+P23</f>
        <v>479491</v>
      </c>
      <c r="Q24" s="357" t="n">
        <f aca="false">P24+Q23</f>
        <v>518070</v>
      </c>
      <c r="R24" s="357" t="n">
        <f aca="false">Q24+R23</f>
        <v>553955</v>
      </c>
      <c r="S24" s="357" t="n">
        <f aca="false">R24+S23</f>
        <v>589840</v>
      </c>
      <c r="T24" s="357" t="n">
        <f aca="false">S24+T23</f>
        <v>575725</v>
      </c>
      <c r="U24" s="357" t="n">
        <f aca="false">T24+U23</f>
        <v>561610</v>
      </c>
      <c r="V24" s="357" t="n">
        <f aca="false">U24+V23</f>
        <v>547495</v>
      </c>
      <c r="W24" s="357" t="n">
        <f aca="false">V24+W23</f>
        <v>535880</v>
      </c>
      <c r="X24" s="357" t="n">
        <f aca="false">W24+X23</f>
        <v>524265</v>
      </c>
      <c r="Y24" s="357" t="n">
        <f aca="false">X24+Y23</f>
        <v>512650</v>
      </c>
      <c r="Z24" s="357" t="n">
        <f aca="false">Y24+Z23</f>
        <v>493035</v>
      </c>
      <c r="AA24" s="357" t="n">
        <f aca="false">Z24+AA23</f>
        <v>481420</v>
      </c>
      <c r="AB24" s="357" t="n">
        <f aca="false">AA24+AB23</f>
        <v>469805</v>
      </c>
      <c r="AC24" s="357" t="n">
        <f aca="false">AB24+AC23</f>
        <v>458190</v>
      </c>
      <c r="AD24" s="357" t="n">
        <f aca="false">AC24+AD23</f>
        <v>446575</v>
      </c>
      <c r="AE24" s="357" t="n">
        <f aca="false">AD24+AE23</f>
        <v>434960</v>
      </c>
      <c r="AF24" s="357" t="n">
        <f aca="false">AE24+AF23</f>
        <v>423345</v>
      </c>
      <c r="AG24" s="357" t="n">
        <f aca="false">AF24+AG23</f>
        <v>409230</v>
      </c>
      <c r="AH24" s="357" t="n">
        <f aca="false">AG24+AH23</f>
        <v>395115</v>
      </c>
      <c r="AI24" s="357" t="n">
        <f aca="false">AH24+AI23</f>
        <v>381000</v>
      </c>
      <c r="AJ24" s="357" t="n">
        <f aca="false">AI24+AJ23</f>
        <v>366885</v>
      </c>
      <c r="AK24" s="357" t="n">
        <f aca="false">AJ24+AK23</f>
        <v>352770</v>
      </c>
      <c r="AL24" s="357" t="n">
        <f aca="false">AK24+AL23</f>
        <v>330655</v>
      </c>
      <c r="AM24" s="357" t="n">
        <f aca="false">AL24+AM23</f>
        <v>316540</v>
      </c>
      <c r="AN24" s="357"/>
    </row>
    <row r="27" customFormat="false" ht="15" hidden="false" customHeight="true" outlineLevel="0" collapsed="false">
      <c r="A27" s="23" t="s">
        <v>1315</v>
      </c>
      <c r="B27" s="23"/>
      <c r="C27" s="23"/>
    </row>
    <row r="28" customFormat="false" ht="15" hidden="false" customHeight="true" outlineLevel="0" collapsed="false">
      <c r="A28" s="177" t="s">
        <v>1307</v>
      </c>
      <c r="B28" s="357" t="n">
        <f aca="false">AN14</f>
        <v>1044910</v>
      </c>
    </row>
    <row r="29" customFormat="false" ht="15" hidden="false" customHeight="true" outlineLevel="0" collapsed="false">
      <c r="A29" s="177" t="s">
        <v>1312</v>
      </c>
      <c r="B29" s="357" t="n">
        <f aca="false">AN21</f>
        <v>728370</v>
      </c>
    </row>
    <row r="30" customFormat="false" ht="15" hidden="false" customHeight="true" outlineLevel="0" collapsed="false">
      <c r="A30" s="101" t="s">
        <v>1316</v>
      </c>
      <c r="B30" s="367" t="n">
        <f aca="false">B28-B29</f>
        <v>316540</v>
      </c>
    </row>
    <row r="31" customFormat="false" ht="15" hidden="false" customHeight="true" outlineLevel="0" collapsed="false">
      <c r="A31" s="101" t="s">
        <v>1317</v>
      </c>
      <c r="B31" s="367" t="n">
        <f aca="false">B30*0.5</f>
        <v>158270</v>
      </c>
    </row>
    <row r="32" customFormat="false" ht="15" hidden="false" customHeight="true" outlineLevel="0" collapsed="false">
      <c r="A32" s="177" t="s">
        <v>1318</v>
      </c>
      <c r="B32" s="357" t="n">
        <f aca="false">B30*0.5</f>
        <v>158270</v>
      </c>
    </row>
    <row r="33" customFormat="false" ht="15" hidden="false" customHeight="true" outlineLevel="0" collapsed="false">
      <c r="A33" s="177" t="s">
        <v>1319</v>
      </c>
      <c r="B33" s="357" t="n">
        <f aca="false">AN17+B32</f>
        <v>833270</v>
      </c>
    </row>
    <row r="35" customFormat="false" ht="15" hidden="false" customHeight="true" outlineLevel="0" collapsed="false">
      <c r="A35" s="72" t="s">
        <v>1320</v>
      </c>
    </row>
    <row r="36" customFormat="false" ht="15" hidden="false" customHeight="true" outlineLevel="0" collapsed="false">
      <c r="A36" s="72" t="s">
        <v>1321</v>
      </c>
    </row>
    <row r="37" customFormat="false" ht="15" hidden="false" customHeight="true" outlineLevel="0" collapsed="false">
      <c r="A37" s="72" t="s">
        <v>1322</v>
      </c>
    </row>
    <row r="38" customFormat="false" ht="15" hidden="false" customHeight="true" outlineLevel="0" collapsed="false">
      <c r="A38" s="72" t="s">
        <v>1323</v>
      </c>
    </row>
    <row r="39" customFormat="false" ht="15" hidden="false" customHeight="true" outlineLevel="0" collapsed="false">
      <c r="A39" s="72" t="s">
        <v>1324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customHeight="false"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68" t="s">
        <v>1325</v>
      </c>
      <c r="N1" s="1" t="s">
        <v>1326</v>
      </c>
      <c r="O1" s="369" t="n">
        <v>1</v>
      </c>
    </row>
    <row r="2" customFormat="false" ht="13.5" hidden="false" customHeight="true" outlineLevel="0" collapsed="false">
      <c r="A2" s="370" t="s">
        <v>1327</v>
      </c>
      <c r="N2" s="1" t="s">
        <v>1328</v>
      </c>
    </row>
    <row r="3" customFormat="false" ht="57" hidden="false" customHeight="true" outlineLevel="0" collapsed="false">
      <c r="A3" s="176" t="s">
        <v>1329</v>
      </c>
      <c r="B3" s="176" t="s">
        <v>457</v>
      </c>
      <c r="C3" s="176" t="s">
        <v>1330</v>
      </c>
      <c r="D3" s="176" t="s">
        <v>1331</v>
      </c>
      <c r="E3" s="176" t="s">
        <v>1332</v>
      </c>
      <c r="F3" s="176" t="s">
        <v>1333</v>
      </c>
      <c r="G3" s="176" t="s">
        <v>1334</v>
      </c>
      <c r="H3" s="176" t="s">
        <v>617</v>
      </c>
      <c r="I3" s="176" t="s">
        <v>1335</v>
      </c>
      <c r="J3" s="176" t="s">
        <v>1336</v>
      </c>
      <c r="K3" s="176" t="s">
        <v>1337</v>
      </c>
      <c r="L3" s="176" t="s">
        <v>1338</v>
      </c>
    </row>
    <row r="4" customFormat="false" ht="13.5" hidden="false" customHeight="true" outlineLevel="0" collapsed="false">
      <c r="A4" s="217" t="n">
        <v>13</v>
      </c>
      <c r="B4" s="215" t="s">
        <v>7</v>
      </c>
      <c r="C4" s="215" t="s">
        <v>1339</v>
      </c>
      <c r="D4" s="217" t="n">
        <v>0</v>
      </c>
      <c r="E4" s="217" t="n">
        <v>1</v>
      </c>
      <c r="F4" s="371" t="n">
        <v>150000</v>
      </c>
      <c r="G4" s="217" t="n">
        <v>9</v>
      </c>
      <c r="H4" s="215" t="s">
        <v>1340</v>
      </c>
      <c r="I4" s="217" t="n">
        <f aca="false">IF(OR($D4=1,$E4=1),SUM(INDEX(Model!$J$13:$DE$56,$A4-12,0))+SUM(INDEX(Model!$J$60:$DE$103,$A4-12,0)),0)</f>
        <v>5373.77120754728</v>
      </c>
      <c r="J4" s="371" t="n">
        <v>142810</v>
      </c>
      <c r="K4" s="217" t="n">
        <f aca="false">IF(OR($D4=1,$E4=1),J4+IF(AND($D4=1,$O$1=1),0,I4),0)</f>
        <v>148183.771207547</v>
      </c>
      <c r="L4" s="372" t="n">
        <v>0.5</v>
      </c>
    </row>
    <row r="5" customFormat="false" ht="13.5" hidden="false" customHeight="true" outlineLevel="0" collapsed="false">
      <c r="A5" s="373" t="n">
        <v>14</v>
      </c>
      <c r="B5" s="374" t="s">
        <v>8</v>
      </c>
      <c r="C5" s="374" t="s">
        <v>1339</v>
      </c>
      <c r="D5" s="373" t="n">
        <v>0</v>
      </c>
      <c r="E5" s="373" t="n">
        <v>1</v>
      </c>
      <c r="F5" s="375" t="n">
        <v>358268</v>
      </c>
      <c r="G5" s="373" t="n">
        <v>19</v>
      </c>
      <c r="H5" s="374" t="s">
        <v>1340</v>
      </c>
      <c r="I5" s="373" t="n">
        <f aca="false">IF(OR($D5=1,$E5=1),SUM(INDEX(Model!$J$13:$DE$56,$A5-12,0))+SUM(INDEX(Model!$J$60:$DE$103,$A5-12,0)),0)</f>
        <v>-332620.069999998</v>
      </c>
      <c r="J5" s="375" t="n">
        <v>133665</v>
      </c>
      <c r="K5" s="373" t="n">
        <f aca="false">IF(OR($D5=1,$E5=1),J5+IF(AND($D5=1,$O$1=1),0,I5),0)</f>
        <v>-198955.069999998</v>
      </c>
      <c r="L5" s="376" t="n">
        <v>0.5</v>
      </c>
    </row>
    <row r="6" customFormat="false" ht="13.5" hidden="false" customHeight="true" outlineLevel="0" collapsed="false">
      <c r="A6" s="217" t="n">
        <v>15</v>
      </c>
      <c r="B6" s="215" t="s">
        <v>9</v>
      </c>
      <c r="C6" s="215" t="s">
        <v>1341</v>
      </c>
      <c r="D6" s="217" t="n">
        <v>1</v>
      </c>
      <c r="E6" s="217" t="n">
        <v>0</v>
      </c>
      <c r="F6" s="371" t="n">
        <v>0</v>
      </c>
      <c r="G6" s="377" t="n">
        <f aca="false">Retention!$F$4</f>
        <v>17</v>
      </c>
      <c r="H6" s="1" t="s">
        <v>1342</v>
      </c>
      <c r="I6" s="217" t="n">
        <f aca="false">IF(OR($D6=1,$E6=1),SUM(INDEX(Model!$J$13:$DE$56,$A6-12,0))+SUM(INDEX(Model!$J$60:$DE$103,$A6-12,0)),0)</f>
        <v>151039.86</v>
      </c>
      <c r="J6" s="371" t="n">
        <f aca="false">92186-100503</f>
        <v>-8317</v>
      </c>
      <c r="K6" s="217" t="n">
        <f aca="false">IF(OR($D6=1,$E6=1),J6+IF(AND($D6=1,$O$1=1),0,I6),0)</f>
        <v>-8317</v>
      </c>
      <c r="L6" s="372" t="n">
        <v>0</v>
      </c>
    </row>
    <row r="7" customFormat="false" ht="13.5" hidden="false" customHeight="true" outlineLevel="0" collapsed="false">
      <c r="A7" s="373" t="n">
        <v>16</v>
      </c>
      <c r="B7" s="374" t="s">
        <v>10</v>
      </c>
      <c r="C7" s="374" t="s">
        <v>1341</v>
      </c>
      <c r="D7" s="373" t="n">
        <v>1</v>
      </c>
      <c r="E7" s="373" t="n">
        <v>0</v>
      </c>
      <c r="F7" s="375" t="n">
        <v>0</v>
      </c>
      <c r="G7" s="378" t="n">
        <f aca="false">Retention!$F$5</f>
        <v>19</v>
      </c>
      <c r="H7" s="1" t="s">
        <v>1342</v>
      </c>
      <c r="I7" s="373" t="n">
        <f aca="false">IF(OR($D7=1,$E7=1),SUM(INDEX(Model!$J$13:$DE$56,$A7-12,0))+SUM(INDEX(Model!$J$60:$DE$103,$A7-12,0)),0)</f>
        <v>52497.3800000008</v>
      </c>
      <c r="J7" s="375" t="n">
        <f aca="false">107920-116123</f>
        <v>-8203</v>
      </c>
      <c r="K7" s="373" t="n">
        <f aca="false">IF(OR($D7=1,$E7=1),J7+IF(AND($D7=1,$O$1=1),0,I7),0)</f>
        <v>-8203</v>
      </c>
      <c r="L7" s="376" t="n">
        <v>0</v>
      </c>
    </row>
    <row r="8" customFormat="false" ht="13.5" hidden="false" customHeight="true" outlineLevel="0" collapsed="false">
      <c r="A8" s="217" t="n">
        <v>17</v>
      </c>
      <c r="B8" s="215" t="s">
        <v>11</v>
      </c>
      <c r="C8" s="215" t="s">
        <v>1339</v>
      </c>
      <c r="D8" s="217" t="n">
        <v>0</v>
      </c>
      <c r="E8" s="217" t="n">
        <v>1</v>
      </c>
      <c r="F8" s="371" t="n">
        <v>0</v>
      </c>
      <c r="G8" s="377" t="n">
        <f aca="false">Retention!$F$6</f>
        <v>15</v>
      </c>
      <c r="H8" s="215" t="s">
        <v>1340</v>
      </c>
      <c r="I8" s="217" t="n">
        <f aca="false">IF(OR($D8=1,$E8=1),SUM(INDEX(Model!$J$13:$DE$56,$A8-12,0))+SUM(INDEX(Model!$J$60:$DE$103,$A8-12,0)),0)</f>
        <v>0</v>
      </c>
      <c r="J8" s="371" t="n">
        <v>3381</v>
      </c>
      <c r="K8" s="217" t="n">
        <f aca="false">IF(OR($D8=1,$E8=1),J8+IF(AND($D8=1,$O$1=1),0,I8),0)</f>
        <v>3381</v>
      </c>
      <c r="L8" s="372" t="n">
        <v>0.5</v>
      </c>
    </row>
    <row r="9" customFormat="false" ht="13.5" hidden="false" customHeight="true" outlineLevel="0" collapsed="false">
      <c r="A9" s="373" t="n">
        <v>18</v>
      </c>
      <c r="B9" s="374" t="s">
        <v>12</v>
      </c>
      <c r="C9" s="374" t="s">
        <v>1341</v>
      </c>
      <c r="D9" s="373" t="n">
        <v>1</v>
      </c>
      <c r="E9" s="373" t="n">
        <v>0</v>
      </c>
      <c r="F9" s="375" t="n">
        <v>0</v>
      </c>
      <c r="G9" s="378" t="n">
        <f aca="false">Retention!$F$7</f>
        <v>36</v>
      </c>
      <c r="H9" s="1" t="s">
        <v>1342</v>
      </c>
      <c r="I9" s="373" t="n">
        <f aca="false">IF(OR($D9=1,$E9=1),SUM(INDEX(Model!$J$13:$DE$56,$A9-12,0))+SUM(INDEX(Model!$J$60:$DE$103,$A9-12,0)),0)</f>
        <v>0</v>
      </c>
      <c r="J9" s="375" t="n">
        <f aca="false">514466.85-525378</f>
        <v>-10911.15</v>
      </c>
      <c r="K9" s="373" t="n">
        <f aca="false">IF(OR($D9=1,$E9=1),J9+IF(AND($D9=1,$O$1=1),0,I9),0)</f>
        <v>-10911.15</v>
      </c>
      <c r="L9" s="376" t="n">
        <v>0</v>
      </c>
    </row>
    <row r="10" customFormat="false" ht="13.5" hidden="false" customHeight="true" outlineLevel="0" collapsed="false">
      <c r="A10" s="217" t="n">
        <v>19</v>
      </c>
      <c r="B10" s="215" t="s">
        <v>13</v>
      </c>
      <c r="C10" s="215" t="s">
        <v>1341</v>
      </c>
      <c r="D10" s="217" t="n">
        <v>1</v>
      </c>
      <c r="E10" s="217" t="n">
        <v>0</v>
      </c>
      <c r="F10" s="371" t="n">
        <v>0</v>
      </c>
      <c r="G10" s="377" t="n">
        <f aca="false">Retention!$F$8</f>
        <v>24</v>
      </c>
      <c r="H10" s="1" t="s">
        <v>1342</v>
      </c>
      <c r="I10" s="217" t="n">
        <f aca="false">IF(OR($D10=1,$E10=1),SUM(INDEX(Model!$J$13:$DE$56,$A10-12,0))+SUM(INDEX(Model!$J$60:$DE$103,$A10-12,0)),0)</f>
        <v>0</v>
      </c>
      <c r="J10" s="371" t="n">
        <f aca="false">96942.25-96992.25</f>
        <v>-50</v>
      </c>
      <c r="K10" s="217" t="n">
        <f aca="false">IF(OR($D10=1,$E10=1),J10+IF(AND($D10=1,$O$1=1),0,I10),0)</f>
        <v>-50</v>
      </c>
      <c r="L10" s="372" t="n">
        <v>0</v>
      </c>
    </row>
    <row r="11" customFormat="false" ht="13.5" hidden="false" customHeight="true" outlineLevel="0" collapsed="false">
      <c r="A11" s="373" t="n">
        <v>20</v>
      </c>
      <c r="B11" s="374" t="s">
        <v>14</v>
      </c>
      <c r="C11" s="374" t="s">
        <v>1341</v>
      </c>
      <c r="D11" s="373" t="n">
        <v>1</v>
      </c>
      <c r="E11" s="373" t="n">
        <v>0</v>
      </c>
      <c r="F11" s="375" t="n">
        <v>0</v>
      </c>
      <c r="G11" s="378" t="n">
        <f aca="false">Retention!$F$9</f>
        <v>23</v>
      </c>
      <c r="H11" s="1" t="s">
        <v>1342</v>
      </c>
      <c r="I11" s="373" t="n">
        <f aca="false">IF(OR($D11=1,$E11=1),SUM(INDEX(Model!$J$13:$DE$56,$A11-12,0))+SUM(INDEX(Model!$J$60:$DE$103,$A11-12,0)),0)</f>
        <v>0</v>
      </c>
      <c r="J11" s="375" t="n">
        <f aca="false">104889.4-107911</f>
        <v>-3021.60000000001</v>
      </c>
      <c r="K11" s="373" t="n">
        <f aca="false">IF(OR($D11=1,$E11=1),J11+IF(AND($D11=1,$O$1=1),0,I11),0)</f>
        <v>-3021.60000000001</v>
      </c>
      <c r="L11" s="376" t="n">
        <v>0</v>
      </c>
    </row>
    <row r="12" customFormat="false" ht="13.5" hidden="false" customHeight="true" outlineLevel="0" collapsed="false">
      <c r="A12" s="217" t="n">
        <v>21</v>
      </c>
      <c r="B12" s="215" t="s">
        <v>15</v>
      </c>
      <c r="C12" s="215" t="s">
        <v>1341</v>
      </c>
      <c r="D12" s="217" t="n">
        <v>1</v>
      </c>
      <c r="E12" s="217" t="n">
        <v>0</v>
      </c>
      <c r="F12" s="371" t="n">
        <v>0</v>
      </c>
      <c r="G12" s="377" t="n">
        <f aca="false">Retention!$F$10</f>
        <v>32</v>
      </c>
      <c r="H12" s="1" t="s">
        <v>1342</v>
      </c>
      <c r="I12" s="217" t="n">
        <f aca="false">IF(OR($D12=1,$E12=1),SUM(INDEX(Model!$J$13:$DE$56,$A12-12,0))+SUM(INDEX(Model!$J$60:$DE$103,$A12-12,0)),0)</f>
        <v>0</v>
      </c>
      <c r="J12" s="371" t="n">
        <v>0</v>
      </c>
      <c r="K12" s="217" t="n">
        <f aca="false">IF(OR($D12=1,$E12=1),J12+IF(AND($D12=1,$O$1=1),0,I12),0)</f>
        <v>0</v>
      </c>
      <c r="L12" s="372" t="n">
        <v>0</v>
      </c>
    </row>
    <row r="13" customFormat="false" ht="13.5" hidden="false" customHeight="true" outlineLevel="0" collapsed="false">
      <c r="A13" s="373" t="n">
        <v>22</v>
      </c>
      <c r="B13" s="374" t="s">
        <v>16</v>
      </c>
      <c r="C13" s="374" t="s">
        <v>1339</v>
      </c>
      <c r="D13" s="373" t="n">
        <v>0</v>
      </c>
      <c r="E13" s="373" t="n">
        <v>1</v>
      </c>
      <c r="F13" s="375" t="n">
        <v>0</v>
      </c>
      <c r="G13" s="378" t="n">
        <f aca="false">Retention!$F$11</f>
        <v>29</v>
      </c>
      <c r="H13" s="374" t="s">
        <v>1340</v>
      </c>
      <c r="I13" s="373" t="n">
        <f aca="false">IF(OR($D13=1,$E13=1),SUM(INDEX(Model!$J$13:$DE$56,$A13-12,0))+SUM(INDEX(Model!$J$60:$DE$103,$A13-12,0)),0)</f>
        <v>0</v>
      </c>
      <c r="J13" s="375" t="n">
        <v>0</v>
      </c>
      <c r="K13" s="373" t="n">
        <f aca="false">IF(OR($D13=1,$E13=1),J13+IF(AND($D13=1,$O$1=1),0,I13),0)</f>
        <v>0</v>
      </c>
      <c r="L13" s="376" t="n">
        <v>0.5</v>
      </c>
    </row>
    <row r="14" customFormat="false" ht="13.5" hidden="false" customHeight="true" outlineLevel="0" collapsed="false">
      <c r="A14" s="217" t="n">
        <v>23</v>
      </c>
      <c r="B14" s="215" t="s">
        <v>17</v>
      </c>
      <c r="C14" s="215" t="s">
        <v>1339</v>
      </c>
      <c r="D14" s="217" t="n">
        <v>0</v>
      </c>
      <c r="E14" s="217" t="n">
        <v>1</v>
      </c>
      <c r="F14" s="371" t="n">
        <v>0</v>
      </c>
      <c r="G14" s="377" t="n">
        <f aca="false">Retention!$F$12</f>
        <v>28</v>
      </c>
      <c r="H14" s="215" t="s">
        <v>1340</v>
      </c>
      <c r="I14" s="217" t="n">
        <f aca="false">IF(OR($D14=1,$E14=1),SUM(INDEX(Model!$J$13:$DE$56,$A14-12,0))+SUM(INDEX(Model!$J$60:$DE$103,$A14-12,0)),0)</f>
        <v>0</v>
      </c>
      <c r="J14" s="371" t="n">
        <v>0</v>
      </c>
      <c r="K14" s="217" t="n">
        <f aca="false">IF(OR($D14=1,$E14=1),J14+IF(AND($D14=1,$O$1=1),0,I14),0)</f>
        <v>0</v>
      </c>
      <c r="L14" s="372" t="n">
        <v>0.5</v>
      </c>
    </row>
    <row r="15" customFormat="false" ht="13.5" hidden="false" customHeight="true" outlineLevel="0" collapsed="false">
      <c r="A15" s="373" t="n">
        <v>24</v>
      </c>
      <c r="B15" s="374" t="s">
        <v>18</v>
      </c>
      <c r="C15" s="374" t="s">
        <v>1341</v>
      </c>
      <c r="D15" s="373" t="n">
        <v>1</v>
      </c>
      <c r="E15" s="373" t="n">
        <v>0</v>
      </c>
      <c r="F15" s="375" t="n">
        <v>0</v>
      </c>
      <c r="G15" s="378" t="n">
        <f aca="false">Retention!$F$13</f>
        <v>42</v>
      </c>
      <c r="H15" s="1" t="s">
        <v>1342</v>
      </c>
      <c r="I15" s="373" t="n">
        <f aca="false">IF(OR($D15=1,$E15=1),SUM(INDEX(Model!$J$13:$DE$56,$A15-12,0))+SUM(INDEX(Model!$J$60:$DE$103,$A15-12,0)),0)</f>
        <v>0</v>
      </c>
      <c r="J15" s="375" t="n">
        <v>0</v>
      </c>
      <c r="K15" s="373" t="n">
        <f aca="false">IF(OR($D15=1,$E15=1),J15+IF(AND($D15=1,$O$1=1),0,I15),0)</f>
        <v>0</v>
      </c>
      <c r="L15" s="376" t="n">
        <v>0</v>
      </c>
    </row>
    <row r="16" customFormat="false" ht="13.5" hidden="false" customHeight="true" outlineLevel="0" collapsed="false">
      <c r="A16" s="217" t="n">
        <v>25</v>
      </c>
      <c r="B16" s="215" t="s">
        <v>19</v>
      </c>
      <c r="C16" s="215" t="s">
        <v>1341</v>
      </c>
      <c r="D16" s="217" t="n">
        <v>1</v>
      </c>
      <c r="E16" s="217" t="n">
        <v>0</v>
      </c>
      <c r="F16" s="371" t="n">
        <v>0</v>
      </c>
      <c r="G16" s="377" t="n">
        <f aca="false">Retention!$F$14</f>
        <v>56</v>
      </c>
      <c r="H16" s="1" t="s">
        <v>1342</v>
      </c>
      <c r="I16" s="217" t="n">
        <f aca="false">IF(OR($D16=1,$E16=1),SUM(INDEX(Model!$J$13:$DE$56,$A16-12,0))+SUM(INDEX(Model!$J$60:$DE$103,$A16-12,0)),0)</f>
        <v>0</v>
      </c>
      <c r="J16" s="371" t="n">
        <v>0</v>
      </c>
      <c r="K16" s="217" t="n">
        <f aca="false">IF(OR($D16=1,$E16=1),J16+IF(AND($D16=1,$O$1=1),0,I16),0)</f>
        <v>0</v>
      </c>
      <c r="L16" s="372" t="n">
        <v>0</v>
      </c>
    </row>
    <row r="17" customFormat="false" ht="13.5" hidden="false" customHeight="true" outlineLevel="0" collapsed="false">
      <c r="A17" s="373" t="n">
        <v>26</v>
      </c>
      <c r="B17" s="374" t="s">
        <v>20</v>
      </c>
      <c r="C17" s="374" t="s">
        <v>1341</v>
      </c>
      <c r="D17" s="373" t="n">
        <v>1</v>
      </c>
      <c r="E17" s="373" t="n">
        <v>0</v>
      </c>
      <c r="F17" s="375" t="n">
        <v>0</v>
      </c>
      <c r="G17" s="378" t="n">
        <f aca="false">Retention!$F$15</f>
        <v>32</v>
      </c>
      <c r="H17" s="1" t="s">
        <v>1342</v>
      </c>
      <c r="I17" s="373" t="n">
        <f aca="false">IF(OR($D17=1,$E17=1),SUM(INDEX(Model!$J$13:$DE$56,$A17-12,0))+SUM(INDEX(Model!$J$60:$DE$103,$A17-12,0)),0)</f>
        <v>0</v>
      </c>
      <c r="J17" s="375" t="n">
        <v>0</v>
      </c>
      <c r="K17" s="373" t="n">
        <f aca="false">IF(OR($D17=1,$E17=1),J17+IF(AND($D17=1,$O$1=1),0,I17),0)</f>
        <v>0</v>
      </c>
      <c r="L17" s="376" t="n">
        <v>0</v>
      </c>
    </row>
    <row r="18" customFormat="false" ht="13.5" hidden="false" customHeight="true" outlineLevel="0" collapsed="false">
      <c r="A18" s="217" t="n">
        <v>27</v>
      </c>
      <c r="B18" s="215" t="s">
        <v>21</v>
      </c>
      <c r="C18" s="215" t="s">
        <v>1341</v>
      </c>
      <c r="D18" s="217" t="n">
        <v>1</v>
      </c>
      <c r="E18" s="217" t="n">
        <v>0</v>
      </c>
      <c r="F18" s="371" t="n">
        <v>0</v>
      </c>
      <c r="G18" s="377" t="n">
        <f aca="false">Retention!$F$16</f>
        <v>33</v>
      </c>
      <c r="H18" s="1" t="s">
        <v>1342</v>
      </c>
      <c r="I18" s="217" t="n">
        <f aca="false">IF(OR($D18=1,$E18=1),SUM(INDEX(Model!$J$13:$DE$56,$A18-12,0))+SUM(INDEX(Model!$J$60:$DE$103,$A18-12,0)),0)</f>
        <v>0</v>
      </c>
      <c r="J18" s="371" t="n">
        <v>0</v>
      </c>
      <c r="K18" s="217" t="n">
        <f aca="false">IF(OR($D18=1,$E18=1),J18+IF(AND($D18=1,$O$1=1),0,I18),0)</f>
        <v>0</v>
      </c>
      <c r="L18" s="372" t="n">
        <v>0</v>
      </c>
    </row>
    <row r="19" customFormat="false" ht="13.5" hidden="false" customHeight="true" outlineLevel="0" collapsed="false">
      <c r="A19" s="373" t="n">
        <v>28</v>
      </c>
      <c r="B19" s="374" t="s">
        <v>22</v>
      </c>
      <c r="C19" s="374" t="s">
        <v>1341</v>
      </c>
      <c r="D19" s="373" t="n">
        <v>1</v>
      </c>
      <c r="E19" s="373" t="n">
        <v>0</v>
      </c>
      <c r="F19" s="375" t="n">
        <v>0</v>
      </c>
      <c r="G19" s="378" t="n">
        <f aca="false">Retention!$F$17</f>
        <v>34</v>
      </c>
      <c r="H19" s="1" t="s">
        <v>1342</v>
      </c>
      <c r="I19" s="373" t="n">
        <f aca="false">IF(OR($D19=1,$E19=1),SUM(INDEX(Model!$J$13:$DE$56,$A19-12,0))+SUM(INDEX(Model!$J$60:$DE$103,$A19-12,0)),0)</f>
        <v>0</v>
      </c>
      <c r="J19" s="375" t="n">
        <v>0</v>
      </c>
      <c r="K19" s="373" t="n">
        <f aca="false">IF(OR($D19=1,$E19=1),J19+IF(AND($D19=1,$O$1=1),0,I19),0)</f>
        <v>0</v>
      </c>
      <c r="L19" s="376" t="n">
        <v>0</v>
      </c>
    </row>
    <row r="20" customFormat="false" ht="13.5" hidden="false" customHeight="true" outlineLevel="0" collapsed="false">
      <c r="A20" s="217" t="n">
        <v>29</v>
      </c>
      <c r="B20" s="215" t="s">
        <v>23</v>
      </c>
      <c r="C20" s="215" t="s">
        <v>1339</v>
      </c>
      <c r="D20" s="217" t="n">
        <v>0</v>
      </c>
      <c r="E20" s="217" t="n">
        <v>1</v>
      </c>
      <c r="F20" s="371" t="n">
        <v>0</v>
      </c>
      <c r="G20" s="377" t="n">
        <f aca="false">Retention!$F$18</f>
        <v>43</v>
      </c>
      <c r="H20" s="215" t="s">
        <v>1340</v>
      </c>
      <c r="I20" s="217" t="n">
        <f aca="false">IF(OR($D20=1,$E20=1),SUM(INDEX(Model!$J$13:$DE$56,$A20-12,0))+SUM(INDEX(Model!$J$60:$DE$103,$A20-12,0)),0)</f>
        <v>0</v>
      </c>
      <c r="J20" s="371" t="n">
        <v>0</v>
      </c>
      <c r="K20" s="217" t="n">
        <f aca="false">IF(OR($D20=1,$E20=1),J20+IF(AND($D20=1,$O$1=1),0,I20),0)</f>
        <v>0</v>
      </c>
      <c r="L20" s="372" t="n">
        <v>0.5</v>
      </c>
    </row>
    <row r="21" customFormat="false" ht="13.5" hidden="false" customHeight="true" outlineLevel="0" collapsed="false">
      <c r="A21" s="373" t="n">
        <v>30</v>
      </c>
      <c r="B21" s="374" t="s">
        <v>24</v>
      </c>
      <c r="C21" s="374" t="s">
        <v>1339</v>
      </c>
      <c r="D21" s="373" t="n">
        <v>0</v>
      </c>
      <c r="E21" s="373" t="n">
        <v>1</v>
      </c>
      <c r="F21" s="375" t="n">
        <v>0</v>
      </c>
      <c r="G21" s="378" t="n">
        <f aca="false">Retention!$F$19</f>
        <v>28</v>
      </c>
      <c r="H21" s="374" t="s">
        <v>1340</v>
      </c>
      <c r="I21" s="373" t="n">
        <f aca="false">IF(OR($D21=1,$E21=1),SUM(INDEX(Model!$J$13:$DE$56,$A21-12,0))+SUM(INDEX(Model!$J$60:$DE$103,$A21-12,0)),0)</f>
        <v>0</v>
      </c>
      <c r="J21" s="375" t="n">
        <v>0</v>
      </c>
      <c r="K21" s="373" t="n">
        <f aca="false">IF(OR($D21=1,$E21=1),J21+IF(AND($D21=1,$O$1=1),0,I21),0)</f>
        <v>0</v>
      </c>
      <c r="L21" s="376" t="n">
        <v>0.5</v>
      </c>
    </row>
    <row r="22" customFormat="false" ht="13.5" hidden="false" customHeight="true" outlineLevel="0" collapsed="false">
      <c r="A22" s="217" t="n">
        <v>31</v>
      </c>
      <c r="B22" s="215" t="s">
        <v>25</v>
      </c>
      <c r="C22" s="215" t="s">
        <v>1341</v>
      </c>
      <c r="D22" s="217" t="n">
        <v>1</v>
      </c>
      <c r="E22" s="217" t="n">
        <v>0</v>
      </c>
      <c r="F22" s="371" t="n">
        <v>0</v>
      </c>
      <c r="G22" s="377" t="n">
        <f aca="false">Retention!$F$20</f>
        <v>49</v>
      </c>
      <c r="H22" s="215" t="s">
        <v>1342</v>
      </c>
      <c r="I22" s="217" t="n">
        <f aca="false">IF(OR($D22=1,$E22=1),SUM(INDEX(Model!$J$13:$DE$56,$A22-12,0))+SUM(INDEX(Model!$J$60:$DE$103,$A22-12,0)),0)</f>
        <v>0</v>
      </c>
      <c r="J22" s="371" t="n">
        <v>0</v>
      </c>
      <c r="K22" s="217" t="n">
        <f aca="false">IF(OR($D22=1,$E22=1),J22+IF(AND($D22=1,$O$1=1),0,I22),0)</f>
        <v>0</v>
      </c>
      <c r="L22" s="372" t="n">
        <v>0</v>
      </c>
    </row>
    <row r="23" customFormat="false" ht="13.5" hidden="false" customHeight="true" outlineLevel="0" collapsed="false">
      <c r="A23" s="373" t="n">
        <v>32</v>
      </c>
      <c r="B23" s="374" t="s">
        <v>26</v>
      </c>
      <c r="C23" s="374" t="s">
        <v>1341</v>
      </c>
      <c r="D23" s="373" t="n">
        <v>1</v>
      </c>
      <c r="E23" s="373" t="n">
        <v>0</v>
      </c>
      <c r="F23" s="375" t="n">
        <v>0</v>
      </c>
      <c r="G23" s="378" t="n">
        <f aca="false">Retention!$F$21</f>
        <v>52</v>
      </c>
      <c r="H23" s="374" t="s">
        <v>1342</v>
      </c>
      <c r="I23" s="373" t="n">
        <f aca="false">IF(OR($D23=1,$E23=1),SUM(INDEX(Model!$J$13:$DE$56,$A23-12,0))+SUM(INDEX(Model!$J$60:$DE$103,$A23-12,0)),0)</f>
        <v>0</v>
      </c>
      <c r="J23" s="375" t="n">
        <v>0</v>
      </c>
      <c r="K23" s="373" t="n">
        <f aca="false">IF(OR($D23=1,$E23=1),J23+IF(AND($D23=1,$O$1=1),0,I23),0)</f>
        <v>0</v>
      </c>
      <c r="L23" s="376" t="n">
        <v>0</v>
      </c>
    </row>
    <row r="24" customFormat="false" ht="13.5" hidden="false" customHeight="true" outlineLevel="0" collapsed="false">
      <c r="A24" s="217" t="n">
        <v>33</v>
      </c>
      <c r="B24" s="215" t="s">
        <v>27</v>
      </c>
      <c r="C24" s="215" t="s">
        <v>1341</v>
      </c>
      <c r="D24" s="217" t="n">
        <v>1</v>
      </c>
      <c r="E24" s="217" t="n">
        <v>0</v>
      </c>
      <c r="F24" s="371" t="n">
        <v>0</v>
      </c>
      <c r="G24" s="377" t="n">
        <f aca="false">Retention!$F$22</f>
        <v>55</v>
      </c>
      <c r="H24" s="215" t="s">
        <v>1342</v>
      </c>
      <c r="I24" s="217" t="n">
        <f aca="false">IF(OR($D24=1,$E24=1),SUM(INDEX(Model!$J$13:$DE$56,$A24-12,0))+SUM(INDEX(Model!$J$60:$DE$103,$A24-12,0)),0)</f>
        <v>0</v>
      </c>
      <c r="J24" s="371" t="n">
        <v>0</v>
      </c>
      <c r="K24" s="217" t="n">
        <f aca="false">IF(OR($D24=1,$E24=1),J24+IF(AND($D24=1,$O$1=1),0,I24),0)</f>
        <v>0</v>
      </c>
      <c r="L24" s="372" t="n">
        <v>0</v>
      </c>
    </row>
    <row r="25" customFormat="false" ht="13.5" hidden="false" customHeight="true" outlineLevel="0" collapsed="false">
      <c r="A25" s="373" t="n">
        <v>34</v>
      </c>
      <c r="B25" s="374" t="s">
        <v>28</v>
      </c>
      <c r="C25" s="374" t="s">
        <v>1341</v>
      </c>
      <c r="D25" s="373" t="n">
        <v>1</v>
      </c>
      <c r="E25" s="373" t="n">
        <v>0</v>
      </c>
      <c r="F25" s="375" t="n">
        <v>0</v>
      </c>
      <c r="G25" s="378" t="n">
        <f aca="false">Retention!$F$23</f>
        <v>58</v>
      </c>
      <c r="H25" s="374" t="s">
        <v>1342</v>
      </c>
      <c r="I25" s="373" t="n">
        <f aca="false">IF(OR($D25=1,$E25=1),SUM(INDEX(Model!$J$13:$DE$56,$A25-12,0))+SUM(INDEX(Model!$J$60:$DE$103,$A25-12,0)),0)</f>
        <v>0</v>
      </c>
      <c r="J25" s="375" t="n">
        <v>0</v>
      </c>
      <c r="K25" s="373" t="n">
        <f aca="false">IF(OR($D25=1,$E25=1),J25+IF(AND($D25=1,$O$1=1),0,I25),0)</f>
        <v>0</v>
      </c>
      <c r="L25" s="376" t="n">
        <v>0</v>
      </c>
    </row>
    <row r="26" customFormat="false" ht="13.5" hidden="false" customHeight="true" outlineLevel="0" collapsed="false">
      <c r="A26" s="217" t="n">
        <v>35</v>
      </c>
      <c r="B26" s="215" t="s">
        <v>29</v>
      </c>
      <c r="C26" s="215" t="s">
        <v>1341</v>
      </c>
      <c r="D26" s="217" t="n">
        <v>1</v>
      </c>
      <c r="E26" s="217" t="n">
        <v>0</v>
      </c>
      <c r="F26" s="371" t="n">
        <v>0</v>
      </c>
      <c r="G26" s="377" t="n">
        <f aca="false">Retention!$F$24</f>
        <v>60</v>
      </c>
      <c r="H26" s="215" t="s">
        <v>1342</v>
      </c>
      <c r="I26" s="217" t="n">
        <f aca="false">IF(OR($D26=1,$E26=1),SUM(INDEX(Model!$J$13:$DE$56,$A26-12,0))+SUM(INDEX(Model!$J$60:$DE$103,$A26-12,0)),0)</f>
        <v>0</v>
      </c>
      <c r="J26" s="371" t="n">
        <v>0</v>
      </c>
      <c r="K26" s="217" t="n">
        <f aca="false">IF(OR($D26=1,$E26=1),J26+IF(AND($D26=1,$O$1=1),0,I26),0)</f>
        <v>0</v>
      </c>
      <c r="L26" s="372" t="n">
        <v>0</v>
      </c>
    </row>
    <row r="27" customFormat="false" ht="13.5" hidden="false" customHeight="true" outlineLevel="0" collapsed="false">
      <c r="A27" s="373" t="n">
        <v>36</v>
      </c>
      <c r="B27" s="374" t="s">
        <v>30</v>
      </c>
      <c r="C27" s="374" t="s">
        <v>1341</v>
      </c>
      <c r="D27" s="373" t="n">
        <v>1</v>
      </c>
      <c r="E27" s="373" t="n">
        <v>0</v>
      </c>
      <c r="F27" s="375" t="n">
        <v>0</v>
      </c>
      <c r="G27" s="378" t="n">
        <f aca="false">Retention!$F$25</f>
        <v>62</v>
      </c>
      <c r="H27" s="374" t="s">
        <v>1342</v>
      </c>
      <c r="I27" s="373" t="n">
        <f aca="false">IF(OR($D27=1,$E27=1),SUM(INDEX(Model!$J$13:$DE$56,$A27-12,0))+SUM(INDEX(Model!$J$60:$DE$103,$A27-12,0)),0)</f>
        <v>0</v>
      </c>
      <c r="J27" s="375" t="n">
        <v>0</v>
      </c>
      <c r="K27" s="373" t="n">
        <f aca="false">IF(OR($D27=1,$E27=1),J27+IF(AND($D27=1,$O$1=1),0,I27),0)</f>
        <v>0</v>
      </c>
      <c r="L27" s="376" t="n">
        <v>0</v>
      </c>
    </row>
    <row r="28" customFormat="false" ht="13.5" hidden="false" customHeight="true" outlineLevel="0" collapsed="false">
      <c r="A28" s="217" t="n">
        <v>37</v>
      </c>
      <c r="B28" s="215" t="s">
        <v>31</v>
      </c>
      <c r="C28" s="215" t="s">
        <v>1341</v>
      </c>
      <c r="D28" s="217" t="n">
        <v>1</v>
      </c>
      <c r="E28" s="217" t="n">
        <v>0</v>
      </c>
      <c r="F28" s="371" t="n">
        <v>0</v>
      </c>
      <c r="G28" s="377" t="n">
        <f aca="false">Retention!$F$26</f>
        <v>64</v>
      </c>
      <c r="H28" s="215" t="s">
        <v>1342</v>
      </c>
      <c r="I28" s="217" t="n">
        <f aca="false">IF(OR($D28=1,$E28=1),SUM(INDEX(Model!$J$13:$DE$56,$A28-12,0))+SUM(INDEX(Model!$J$60:$DE$103,$A28-12,0)),0)</f>
        <v>0</v>
      </c>
      <c r="J28" s="371" t="n">
        <v>0</v>
      </c>
      <c r="K28" s="217" t="n">
        <f aca="false">IF(OR($D28=1,$E28=1),J28+IF(AND($D28=1,$O$1=1),0,I28),0)</f>
        <v>0</v>
      </c>
      <c r="L28" s="372" t="n">
        <v>0</v>
      </c>
    </row>
    <row r="29" customFormat="false" ht="13.5" hidden="false" customHeight="true" outlineLevel="0" collapsed="false">
      <c r="A29" s="373" t="n">
        <v>38</v>
      </c>
      <c r="B29" s="374" t="s">
        <v>32</v>
      </c>
      <c r="C29" s="374" t="s">
        <v>1341</v>
      </c>
      <c r="D29" s="373" t="n">
        <v>1</v>
      </c>
      <c r="E29" s="373" t="n">
        <v>0</v>
      </c>
      <c r="F29" s="375" t="n">
        <v>0</v>
      </c>
      <c r="G29" s="378" t="n">
        <f aca="false">Retention!$F$27</f>
        <v>66</v>
      </c>
      <c r="H29" s="374" t="s">
        <v>1342</v>
      </c>
      <c r="I29" s="373" t="n">
        <f aca="false">IF(OR($D29=1,$E29=1),SUM(INDEX(Model!$J$13:$DE$56,$A29-12,0))+SUM(INDEX(Model!$J$60:$DE$103,$A29-12,0)),0)</f>
        <v>0</v>
      </c>
      <c r="J29" s="375" t="n">
        <v>0</v>
      </c>
      <c r="K29" s="373" t="n">
        <f aca="false">IF(OR($D29=1,$E29=1),J29+IF(AND($D29=1,$O$1=1),0,I29),0)</f>
        <v>0</v>
      </c>
      <c r="L29" s="376" t="n">
        <v>0</v>
      </c>
    </row>
    <row r="30" customFormat="false" ht="13.5" hidden="false" customHeight="true" outlineLevel="0" collapsed="false">
      <c r="A30" s="217" t="n">
        <v>39</v>
      </c>
      <c r="B30" s="215" t="s">
        <v>33</v>
      </c>
      <c r="C30" s="215" t="s">
        <v>1341</v>
      </c>
      <c r="D30" s="217" t="n">
        <v>1</v>
      </c>
      <c r="E30" s="217" t="n">
        <v>0</v>
      </c>
      <c r="F30" s="371" t="n">
        <v>0</v>
      </c>
      <c r="G30" s="377" t="n">
        <f aca="false">Retention!$F$28</f>
        <v>68</v>
      </c>
      <c r="H30" s="215" t="s">
        <v>1342</v>
      </c>
      <c r="I30" s="217" t="n">
        <f aca="false">IF(OR($D30=1,$E30=1),SUM(INDEX(Model!$J$13:$DE$56,$A30-12,0))+SUM(INDEX(Model!$J$60:$DE$103,$A30-12,0)),0)</f>
        <v>0</v>
      </c>
      <c r="J30" s="371" t="n">
        <v>0</v>
      </c>
      <c r="K30" s="217" t="n">
        <f aca="false">IF(OR($D30=1,$E30=1),J30+IF(AND($D30=1,$O$1=1),0,I30),0)</f>
        <v>0</v>
      </c>
      <c r="L30" s="372" t="n">
        <v>0</v>
      </c>
    </row>
    <row r="31" customFormat="false" ht="13.5" hidden="false" customHeight="true" outlineLevel="0" collapsed="false">
      <c r="A31" s="373" t="n">
        <v>40</v>
      </c>
      <c r="B31" s="374" t="s">
        <v>34</v>
      </c>
      <c r="C31" s="374" t="s">
        <v>1341</v>
      </c>
      <c r="D31" s="373" t="n">
        <v>1</v>
      </c>
      <c r="E31" s="373" t="n">
        <v>0</v>
      </c>
      <c r="F31" s="375" t="n">
        <v>0</v>
      </c>
      <c r="G31" s="378" t="n">
        <f aca="false">Retention!$F$29</f>
        <v>70</v>
      </c>
      <c r="H31" s="374" t="s">
        <v>1342</v>
      </c>
      <c r="I31" s="373" t="n">
        <f aca="false">IF(OR($D31=1,$E31=1),SUM(INDEX(Model!$J$13:$DE$56,$A31-12,0))+SUM(INDEX(Model!$J$60:$DE$103,$A31-12,0)),0)</f>
        <v>0</v>
      </c>
      <c r="J31" s="375" t="n">
        <v>0</v>
      </c>
      <c r="K31" s="373" t="n">
        <f aca="false">IF(OR($D31=1,$E31=1),J31+IF(AND($D31=1,$O$1=1),0,I31),0)</f>
        <v>0</v>
      </c>
      <c r="L31" s="376" t="n">
        <v>0</v>
      </c>
    </row>
    <row r="32" customFormat="false" ht="13.5" hidden="false" customHeight="true" outlineLevel="0" collapsed="false">
      <c r="A32" s="217" t="n">
        <v>41</v>
      </c>
      <c r="B32" s="215" t="s">
        <v>35</v>
      </c>
      <c r="C32" s="215" t="s">
        <v>1341</v>
      </c>
      <c r="D32" s="217" t="n">
        <v>1</v>
      </c>
      <c r="E32" s="217" t="n">
        <v>0</v>
      </c>
      <c r="F32" s="371" t="n">
        <v>0</v>
      </c>
      <c r="G32" s="377" t="n">
        <f aca="false">Retention!$F$30</f>
        <v>72</v>
      </c>
      <c r="H32" s="215" t="s">
        <v>1342</v>
      </c>
      <c r="I32" s="217" t="n">
        <f aca="false">IF(OR($D32=1,$E32=1),SUM(INDEX(Model!$J$13:$DE$56,$A32-12,0))+SUM(INDEX(Model!$J$60:$DE$103,$A32-12,0)),0)</f>
        <v>0</v>
      </c>
      <c r="J32" s="371" t="n">
        <v>0</v>
      </c>
      <c r="K32" s="217" t="n">
        <f aca="false">IF(OR($D32=1,$E32=1),J32+IF(AND($D32=1,$O$1=1),0,I32),0)</f>
        <v>0</v>
      </c>
      <c r="L32" s="372" t="n">
        <v>0</v>
      </c>
    </row>
    <row r="33" customFormat="false" ht="13.5" hidden="false" customHeight="true" outlineLevel="0" collapsed="false">
      <c r="A33" s="373" t="n">
        <v>42</v>
      </c>
      <c r="B33" s="374" t="s">
        <v>36</v>
      </c>
      <c r="C33" s="374" t="s">
        <v>1341</v>
      </c>
      <c r="D33" s="373" t="n">
        <v>1</v>
      </c>
      <c r="E33" s="373" t="n">
        <v>0</v>
      </c>
      <c r="F33" s="375" t="n">
        <v>0</v>
      </c>
      <c r="G33" s="378" t="n">
        <f aca="false">Retention!$F$31</f>
        <v>74</v>
      </c>
      <c r="H33" s="374" t="s">
        <v>1342</v>
      </c>
      <c r="I33" s="373" t="n">
        <f aca="false">IF(OR($D33=1,$E33=1),SUM(INDEX(Model!$J$13:$DE$56,$A33-12,0))+SUM(INDEX(Model!$J$60:$DE$103,$A33-12,0)),0)</f>
        <v>0</v>
      </c>
      <c r="J33" s="375" t="n">
        <v>0</v>
      </c>
      <c r="K33" s="373" t="n">
        <f aca="false">IF(OR($D33=1,$E33=1),J33+IF(AND($D33=1,$O$1=1),0,I33),0)</f>
        <v>0</v>
      </c>
      <c r="L33" s="376" t="n">
        <v>0</v>
      </c>
    </row>
    <row r="34" customFormat="false" ht="13.5" hidden="false" customHeight="true" outlineLevel="0" collapsed="false">
      <c r="A34" s="217" t="n">
        <v>43</v>
      </c>
      <c r="B34" s="215" t="s">
        <v>37</v>
      </c>
      <c r="C34" s="215" t="s">
        <v>1341</v>
      </c>
      <c r="D34" s="217" t="n">
        <v>1</v>
      </c>
      <c r="E34" s="217" t="n">
        <v>0</v>
      </c>
      <c r="F34" s="371" t="n">
        <v>0</v>
      </c>
      <c r="G34" s="377" t="n">
        <f aca="false">Retention!$F$32</f>
        <v>76</v>
      </c>
      <c r="H34" s="215" t="s">
        <v>1342</v>
      </c>
      <c r="I34" s="217" t="n">
        <f aca="false">IF(OR($D34=1,$E34=1),SUM(INDEX(Model!$J$13:$DE$56,$A34-12,0))+SUM(INDEX(Model!$J$60:$DE$103,$A34-12,0)),0)</f>
        <v>0</v>
      </c>
      <c r="J34" s="371" t="n">
        <v>0</v>
      </c>
      <c r="K34" s="217" t="n">
        <f aca="false">IF(OR($D34=1,$E34=1),J34+IF(AND($D34=1,$O$1=1),0,I34),0)</f>
        <v>0</v>
      </c>
      <c r="L34" s="372" t="n">
        <v>0</v>
      </c>
    </row>
    <row r="35" customFormat="false" ht="13.5" hidden="false" customHeight="true" outlineLevel="0" collapsed="false">
      <c r="A35" s="373" t="n">
        <v>44</v>
      </c>
      <c r="B35" s="374" t="s">
        <v>38</v>
      </c>
      <c r="C35" s="374" t="s">
        <v>1341</v>
      </c>
      <c r="D35" s="373" t="n">
        <v>1</v>
      </c>
      <c r="E35" s="373" t="n">
        <v>0</v>
      </c>
      <c r="F35" s="375" t="n">
        <v>0</v>
      </c>
      <c r="G35" s="378" t="n">
        <f aca="false">Retention!$F$33</f>
        <v>78</v>
      </c>
      <c r="H35" s="374" t="s">
        <v>1342</v>
      </c>
      <c r="I35" s="373" t="n">
        <f aca="false">IF(OR($D35=1,$E35=1),SUM(INDEX(Model!$J$13:$DE$56,$A35-12,0))+SUM(INDEX(Model!$J$60:$DE$103,$A35-12,0)),0)</f>
        <v>0</v>
      </c>
      <c r="J35" s="375" t="n">
        <v>0</v>
      </c>
      <c r="K35" s="373" t="n">
        <f aca="false">IF(OR($D35=1,$E35=1),J35+IF(AND($D35=1,$O$1=1),0,I35),0)</f>
        <v>0</v>
      </c>
      <c r="L35" s="376" t="n">
        <v>0</v>
      </c>
    </row>
    <row r="36" customFormat="false" ht="13.5" hidden="false" customHeight="true" outlineLevel="0" collapsed="false">
      <c r="A36" s="217" t="n">
        <v>45</v>
      </c>
      <c r="B36" s="215" t="s">
        <v>39</v>
      </c>
      <c r="C36" s="215" t="s">
        <v>1341</v>
      </c>
      <c r="D36" s="217" t="n">
        <v>1</v>
      </c>
      <c r="E36" s="217" t="n">
        <v>0</v>
      </c>
      <c r="F36" s="371" t="n">
        <v>0</v>
      </c>
      <c r="G36" s="377" t="n">
        <f aca="false">Retention!$F$34</f>
        <v>80</v>
      </c>
      <c r="H36" s="215" t="s">
        <v>1342</v>
      </c>
      <c r="I36" s="217" t="n">
        <f aca="false">IF(OR($D36=1,$E36=1),SUM(INDEX(Model!$J$13:$DE$56,$A36-12,0))+SUM(INDEX(Model!$J$60:$DE$103,$A36-12,0)),0)</f>
        <v>0</v>
      </c>
      <c r="J36" s="371" t="n">
        <v>0</v>
      </c>
      <c r="K36" s="217" t="n">
        <f aca="false">IF(OR($D36=1,$E36=1),J36+IF(AND($D36=1,$O$1=1),0,I36),0)</f>
        <v>0</v>
      </c>
      <c r="L36" s="372" t="n">
        <v>0</v>
      </c>
    </row>
    <row r="37" customFormat="false" ht="13.5" hidden="false" customHeight="true" outlineLevel="0" collapsed="false">
      <c r="A37" s="373" t="n">
        <v>46</v>
      </c>
      <c r="B37" s="374" t="s">
        <v>40</v>
      </c>
      <c r="C37" s="374" t="s">
        <v>1341</v>
      </c>
      <c r="D37" s="373" t="n">
        <v>1</v>
      </c>
      <c r="E37" s="373" t="n">
        <v>0</v>
      </c>
      <c r="F37" s="375" t="n">
        <v>0</v>
      </c>
      <c r="G37" s="378" t="n">
        <f aca="false">Retention!$F$35</f>
        <v>82</v>
      </c>
      <c r="H37" s="374" t="s">
        <v>1342</v>
      </c>
      <c r="I37" s="373" t="n">
        <f aca="false">IF(OR($D37=1,$E37=1),SUM(INDEX(Model!$J$13:$DE$56,$A37-12,0))+SUM(INDEX(Model!$J$60:$DE$103,$A37-12,0)),0)</f>
        <v>0</v>
      </c>
      <c r="J37" s="375" t="n">
        <v>0</v>
      </c>
      <c r="K37" s="373" t="n">
        <f aca="false">IF(OR($D37=1,$E37=1),J37+IF(AND($D37=1,$O$1=1),0,I37),0)</f>
        <v>0</v>
      </c>
      <c r="L37" s="376" t="n">
        <v>0</v>
      </c>
    </row>
    <row r="38" customFormat="false" ht="13.5" hidden="false" customHeight="true" outlineLevel="0" collapsed="false">
      <c r="A38" s="217" t="n">
        <v>47</v>
      </c>
      <c r="B38" s="215" t="s">
        <v>41</v>
      </c>
      <c r="C38" s="215" t="s">
        <v>1341</v>
      </c>
      <c r="D38" s="217" t="n">
        <v>1</v>
      </c>
      <c r="E38" s="217" t="n">
        <v>0</v>
      </c>
      <c r="F38" s="371" t="n">
        <v>0</v>
      </c>
      <c r="G38" s="377" t="n">
        <f aca="false">Retention!$F$36</f>
        <v>84</v>
      </c>
      <c r="H38" s="215" t="s">
        <v>1342</v>
      </c>
      <c r="I38" s="217" t="n">
        <f aca="false">IF(OR($D38=1,$E38=1),SUM(INDEX(Model!$J$13:$DE$56,$A38-12,0))+SUM(INDEX(Model!$J$60:$DE$103,$A38-12,0)),0)</f>
        <v>0</v>
      </c>
      <c r="J38" s="371" t="n">
        <v>0</v>
      </c>
      <c r="K38" s="217" t="n">
        <f aca="false">IF(OR($D38=1,$E38=1),J38+IF(AND($D38=1,$O$1=1),0,I38),0)</f>
        <v>0</v>
      </c>
      <c r="L38" s="372" t="n">
        <v>0</v>
      </c>
    </row>
    <row r="39" customFormat="false" ht="13.5" hidden="false" customHeight="true" outlineLevel="0" collapsed="false">
      <c r="A39" s="373" t="n">
        <v>48</v>
      </c>
      <c r="B39" s="374" t="s">
        <v>42</v>
      </c>
      <c r="C39" s="374" t="s">
        <v>1341</v>
      </c>
      <c r="D39" s="373" t="n">
        <v>1</v>
      </c>
      <c r="E39" s="373" t="n">
        <v>0</v>
      </c>
      <c r="F39" s="375" t="n">
        <v>0</v>
      </c>
      <c r="G39" s="378" t="n">
        <f aca="false">Retention!$F$37</f>
        <v>86</v>
      </c>
      <c r="H39" s="374" t="s">
        <v>1342</v>
      </c>
      <c r="I39" s="373" t="n">
        <f aca="false">IF(OR($D39=1,$E39=1),SUM(INDEX(Model!$J$13:$DE$56,$A39-12,0))+SUM(INDEX(Model!$J$60:$DE$103,$A39-12,0)),0)</f>
        <v>0</v>
      </c>
      <c r="J39" s="375" t="n">
        <v>0</v>
      </c>
      <c r="K39" s="373" t="n">
        <f aca="false">IF(OR($D39=1,$E39=1),J39+IF(AND($D39=1,$O$1=1),0,I39),0)</f>
        <v>0</v>
      </c>
      <c r="L39" s="376" t="n">
        <v>0</v>
      </c>
    </row>
    <row r="40" customFormat="false" ht="13.5" hidden="false" customHeight="true" outlineLevel="0" collapsed="false">
      <c r="A40" s="217" t="n">
        <v>49</v>
      </c>
      <c r="B40" s="215" t="s">
        <v>43</v>
      </c>
      <c r="C40" s="215" t="s">
        <v>1341</v>
      </c>
      <c r="D40" s="217" t="n">
        <v>1</v>
      </c>
      <c r="E40" s="217" t="n">
        <v>0</v>
      </c>
      <c r="F40" s="371" t="n">
        <v>0</v>
      </c>
      <c r="G40" s="377" t="n">
        <f aca="false">Retention!$F$38</f>
        <v>88</v>
      </c>
      <c r="H40" s="215" t="s">
        <v>1342</v>
      </c>
      <c r="I40" s="217" t="n">
        <f aca="false">IF(OR($D40=1,$E40=1),SUM(INDEX(Model!$J$13:$DE$56,$A40-12,0))+SUM(INDEX(Model!$J$60:$DE$103,$A40-12,0)),0)</f>
        <v>0</v>
      </c>
      <c r="J40" s="371" t="n">
        <v>0</v>
      </c>
      <c r="K40" s="217" t="n">
        <f aca="false">IF(OR($D40=1,$E40=1),J40+IF(AND($D40=1,$O$1=1),0,I40),0)</f>
        <v>0</v>
      </c>
      <c r="L40" s="372" t="n">
        <v>0</v>
      </c>
    </row>
    <row r="41" customFormat="false" ht="13.5" hidden="false" customHeight="true" outlineLevel="0" collapsed="false">
      <c r="A41" s="373" t="n">
        <v>50</v>
      </c>
      <c r="B41" s="374" t="s">
        <v>44</v>
      </c>
      <c r="C41" s="374" t="s">
        <v>1341</v>
      </c>
      <c r="D41" s="373" t="n">
        <v>1</v>
      </c>
      <c r="E41" s="373" t="n">
        <v>0</v>
      </c>
      <c r="F41" s="375" t="n">
        <v>0</v>
      </c>
      <c r="G41" s="378" t="n">
        <f aca="false">Retention!$F$39</f>
        <v>90</v>
      </c>
      <c r="H41" s="374" t="s">
        <v>1342</v>
      </c>
      <c r="I41" s="373" t="n">
        <f aca="false">IF(OR($D41=1,$E41=1),SUM(INDEX(Model!$J$13:$DE$56,$A41-12,0))+SUM(INDEX(Model!$J$60:$DE$103,$A41-12,0)),0)</f>
        <v>0</v>
      </c>
      <c r="J41" s="375" t="n">
        <v>0</v>
      </c>
      <c r="K41" s="373" t="n">
        <f aca="false">IF(OR($D41=1,$E41=1),J41+IF(AND($D41=1,$O$1=1),0,I41),0)</f>
        <v>0</v>
      </c>
      <c r="L41" s="376" t="n">
        <v>0</v>
      </c>
    </row>
    <row r="42" customFormat="false" ht="13.5" hidden="false" customHeight="true" outlineLevel="0" collapsed="false">
      <c r="A42" s="217" t="n">
        <v>51</v>
      </c>
      <c r="B42" s="215" t="s">
        <v>45</v>
      </c>
      <c r="C42" s="215" t="s">
        <v>1341</v>
      </c>
      <c r="D42" s="217" t="n">
        <v>1</v>
      </c>
      <c r="E42" s="217" t="n">
        <v>0</v>
      </c>
      <c r="F42" s="371" t="n">
        <v>0</v>
      </c>
      <c r="G42" s="377" t="n">
        <f aca="false">Retention!$F$40</f>
        <v>92</v>
      </c>
      <c r="H42" s="215" t="s">
        <v>1342</v>
      </c>
      <c r="I42" s="217" t="n">
        <f aca="false">IF(OR($D42=1,$E42=1),SUM(INDEX(Model!$J$13:$DE$56,$A42-12,0))+SUM(INDEX(Model!$J$60:$DE$103,$A42-12,0)),0)</f>
        <v>0</v>
      </c>
      <c r="J42" s="371" t="n">
        <v>0</v>
      </c>
      <c r="K42" s="217" t="n">
        <f aca="false">IF(OR($D42=1,$E42=1),J42+IF(AND($D42=1,$O$1=1),0,I42),0)</f>
        <v>0</v>
      </c>
      <c r="L42" s="372" t="n">
        <v>0</v>
      </c>
    </row>
    <row r="43" customFormat="false" ht="13.5" hidden="false" customHeight="true" outlineLevel="0" collapsed="false">
      <c r="A43" s="373" t="n">
        <v>52</v>
      </c>
      <c r="B43" s="374" t="s">
        <v>46</v>
      </c>
      <c r="C43" s="374" t="s">
        <v>1341</v>
      </c>
      <c r="D43" s="373" t="n">
        <v>1</v>
      </c>
      <c r="E43" s="373" t="n">
        <v>0</v>
      </c>
      <c r="F43" s="375" t="n">
        <v>0</v>
      </c>
      <c r="G43" s="378" t="n">
        <f aca="false">Retention!$F$41</f>
        <v>94</v>
      </c>
      <c r="H43" s="374" t="s">
        <v>1342</v>
      </c>
      <c r="I43" s="373" t="n">
        <f aca="false">IF(OR($D43=1,$E43=1),SUM(INDEX(Model!$J$13:$DE$56,$A43-12,0))+SUM(INDEX(Model!$J$60:$DE$103,$A43-12,0)),0)</f>
        <v>0</v>
      </c>
      <c r="J43" s="375" t="n">
        <v>0</v>
      </c>
      <c r="K43" s="373" t="n">
        <f aca="false">IF(OR($D43=1,$E43=1),J43+IF(AND($D43=1,$O$1=1),0,I43),0)</f>
        <v>0</v>
      </c>
      <c r="L43" s="376" t="n">
        <v>0</v>
      </c>
    </row>
    <row r="44" customFormat="false" ht="13.5" hidden="false" customHeight="true" outlineLevel="0" collapsed="false">
      <c r="A44" s="217" t="n">
        <v>53</v>
      </c>
      <c r="B44" s="215" t="s">
        <v>47</v>
      </c>
      <c r="C44" s="215" t="s">
        <v>1341</v>
      </c>
      <c r="D44" s="217" t="n">
        <v>1</v>
      </c>
      <c r="E44" s="217" t="n">
        <v>0</v>
      </c>
      <c r="F44" s="371" t="n">
        <v>0</v>
      </c>
      <c r="G44" s="377" t="n">
        <f aca="false">Retention!$F$42</f>
        <v>96</v>
      </c>
      <c r="H44" s="215" t="s">
        <v>1342</v>
      </c>
      <c r="I44" s="217" t="n">
        <f aca="false">IF(OR($D44=1,$E44=1),SUM(INDEX(Model!$J$13:$DE$56,$A44-12,0))+SUM(INDEX(Model!$J$60:$DE$103,$A44-12,0)),0)</f>
        <v>0</v>
      </c>
      <c r="J44" s="371" t="n">
        <v>0</v>
      </c>
      <c r="K44" s="217" t="n">
        <f aca="false">IF(OR($D44=1,$E44=1),J44+IF(AND($D44=1,$O$1=1),0,I44),0)</f>
        <v>0</v>
      </c>
      <c r="L44" s="372" t="n">
        <v>0</v>
      </c>
    </row>
    <row r="45" customFormat="false" ht="13.5" hidden="false" customHeight="true" outlineLevel="0" collapsed="false">
      <c r="A45" s="373" t="n">
        <v>54</v>
      </c>
      <c r="B45" s="374" t="s">
        <v>48</v>
      </c>
      <c r="C45" s="374" t="s">
        <v>1341</v>
      </c>
      <c r="D45" s="373" t="n">
        <v>1</v>
      </c>
      <c r="E45" s="373" t="n">
        <v>0</v>
      </c>
      <c r="F45" s="375" t="n">
        <v>0</v>
      </c>
      <c r="G45" s="378" t="n">
        <f aca="false">Retention!$F$43</f>
        <v>98</v>
      </c>
      <c r="H45" s="374" t="s">
        <v>1342</v>
      </c>
      <c r="I45" s="373" t="n">
        <f aca="false">IF(OR($D45=1,$E45=1),SUM(INDEX(Model!$J$13:$DE$56,$A45-12,0))+SUM(INDEX(Model!$J$60:$DE$103,$A45-12,0)),0)</f>
        <v>0</v>
      </c>
      <c r="J45" s="375" t="n">
        <v>0</v>
      </c>
      <c r="K45" s="373" t="n">
        <f aca="false">IF(OR($D45=1,$E45=1),J45+IF(AND($D45=1,$O$1=1),0,I45),0)</f>
        <v>0</v>
      </c>
      <c r="L45" s="376" t="n">
        <v>0</v>
      </c>
    </row>
    <row r="46" customFormat="false" ht="13.5" hidden="false" customHeight="true" outlineLevel="0" collapsed="false">
      <c r="A46" s="217" t="n">
        <v>55</v>
      </c>
      <c r="B46" s="215" t="s">
        <v>49</v>
      </c>
      <c r="C46" s="215" t="s">
        <v>1341</v>
      </c>
      <c r="D46" s="217" t="n">
        <v>1</v>
      </c>
      <c r="E46" s="217" t="n">
        <v>0</v>
      </c>
      <c r="F46" s="371" t="n">
        <v>0</v>
      </c>
      <c r="G46" s="377" t="n">
        <f aca="false">Retention!$F$44</f>
        <v>100</v>
      </c>
      <c r="H46" s="215" t="s">
        <v>1342</v>
      </c>
      <c r="I46" s="217" t="n">
        <f aca="false">IF(OR($D46=1,$E46=1),SUM(INDEX(Model!$J$13:$DE$56,$A46-12,0))+SUM(INDEX(Model!$J$60:$DE$103,$A46-12,0)),0)</f>
        <v>0</v>
      </c>
      <c r="J46" s="371" t="n">
        <v>0</v>
      </c>
      <c r="K46" s="217" t="n">
        <f aca="false">IF(OR($D46=1,$E46=1),J46+IF(AND($D46=1,$O$1=1),0,I46),0)</f>
        <v>0</v>
      </c>
      <c r="L46" s="372" t="n">
        <v>0</v>
      </c>
    </row>
    <row r="47" customFormat="false" ht="13.5" hidden="false" customHeight="true" outlineLevel="0" collapsed="false">
      <c r="A47" s="373" t="n">
        <v>56</v>
      </c>
      <c r="B47" s="374" t="s">
        <v>50</v>
      </c>
      <c r="C47" s="374" t="s">
        <v>1343</v>
      </c>
      <c r="D47" s="373" t="n">
        <v>0</v>
      </c>
      <c r="E47" s="373" t="n">
        <v>0</v>
      </c>
      <c r="F47" s="375" t="n">
        <v>0</v>
      </c>
      <c r="G47" s="373" t="n">
        <v>0</v>
      </c>
      <c r="I47" s="373" t="n">
        <f aca="false">IF(OR($D47=1,$E47=1),SUM(INDEX(Model!$J$13:$DE$56,$A47-12,0))+SUM(INDEX(Model!$J$60:$DE$103,$A47-12,0)),0)</f>
        <v>0</v>
      </c>
      <c r="J47" s="375" t="n">
        <v>0</v>
      </c>
      <c r="K47" s="373" t="n">
        <f aca="false">IF(OR($D47=1,$E47=1),J47+IF(AND($D47=1,$O$1=1),0,I47),0)</f>
        <v>0</v>
      </c>
      <c r="L47" s="376" t="n">
        <v>0</v>
      </c>
    </row>
    <row r="58" customFormat="false" ht="13.5" hidden="false" customHeight="true" outlineLevel="0" collapsed="false">
      <c r="A58" s="379" t="s">
        <v>1344</v>
      </c>
    </row>
    <row r="59" customFormat="false" ht="13.5" hidden="false" customHeight="true" outlineLevel="0" collapsed="false">
      <c r="A59" s="1" t="s">
        <v>1345</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79" t="s">
        <v>476</v>
      </c>
      <c r="B104" s="379" t="n">
        <f aca="false">SUM(B60:B103)</f>
        <v>0</v>
      </c>
      <c r="C104" s="379" t="n">
        <f aca="false">SUM(C60:C103)</f>
        <v>0</v>
      </c>
      <c r="D104" s="379" t="n">
        <f aca="false">SUM(D60:D103)</f>
        <v>0</v>
      </c>
      <c r="E104" s="379" t="n">
        <f aca="false">SUM(E60:E103)</f>
        <v>0</v>
      </c>
      <c r="F104" s="379" t="n">
        <f aca="false">SUM(F60:F103)</f>
        <v>0</v>
      </c>
      <c r="G104" s="379" t="n">
        <f aca="false">SUM(G60:G103)</f>
        <v>0</v>
      </c>
      <c r="H104" s="379" t="n">
        <f aca="false">SUM(H60:H103)</f>
        <v>0</v>
      </c>
      <c r="I104" s="379" t="n">
        <f aca="false">SUM(I60:I103)</f>
        <v>0</v>
      </c>
      <c r="J104" s="379" t="n">
        <f aca="false">SUM(J60:J103)</f>
        <v>225272.52</v>
      </c>
      <c r="K104" s="379" t="n">
        <f aca="false">SUM(K60:K103)</f>
        <v>248630.71</v>
      </c>
      <c r="L104" s="379" t="n">
        <f aca="false">SUM(L60:L103)</f>
        <v>251735.84</v>
      </c>
      <c r="M104" s="379" t="n">
        <f aca="false">SUM(M60:M103)</f>
        <v>252618.63</v>
      </c>
      <c r="N104" s="379" t="n">
        <f aca="false">SUM(N60:N103)</f>
        <v>261241.069999999</v>
      </c>
      <c r="O104" s="379" t="n">
        <f aca="false">SUM(O60:O103)</f>
        <v>275566.84</v>
      </c>
      <c r="P104" s="379" t="n">
        <f aca="false">SUM(P60:P103)</f>
        <v>283344.14</v>
      </c>
      <c r="Q104" s="379" t="n">
        <f aca="false">SUM(Q60:Q103)</f>
        <v>296785.86</v>
      </c>
      <c r="R104" s="379" t="n">
        <f aca="false">SUM(R60:R103)</f>
        <v>279949.350000001</v>
      </c>
      <c r="S104" s="379" t="n">
        <f aca="false">SUM(S60:S103)</f>
        <v>218493.54</v>
      </c>
      <c r="T104" s="379" t="n">
        <f aca="false">SUM(T60:T103)</f>
        <v>197620.92</v>
      </c>
      <c r="U104" s="379" t="n">
        <f aca="false">SUM(U60:U103)</f>
        <v>194318.949999999</v>
      </c>
      <c r="V104" s="379" t="n">
        <f aca="false">SUM(V60:V103)</f>
        <v>197751.920000001</v>
      </c>
      <c r="W104" s="379" t="n">
        <f aca="false">SUM(W60:W103)</f>
        <v>203537.240000001</v>
      </c>
      <c r="X104" s="379" t="n">
        <f aca="false">SUM(X60:X103)</f>
        <v>203537.240000001</v>
      </c>
      <c r="Y104" s="379" t="n">
        <f aca="false">SUM(Y60:Y103)</f>
        <v>203537.240000001</v>
      </c>
      <c r="Z104" s="379" t="n">
        <f aca="false">SUM(Z60:Z103)</f>
        <v>203537.240000001</v>
      </c>
      <c r="AA104" s="379" t="n">
        <f aca="false">SUM(AA60:AA103)</f>
        <v>203537.240000001</v>
      </c>
      <c r="AB104" s="379" t="n">
        <f aca="false">SUM(AB60:AB103)</f>
        <v>203537.240000001</v>
      </c>
      <c r="AC104" s="379" t="n">
        <f aca="false">SUM(AC60:AC103)</f>
        <v>203537.240000001</v>
      </c>
      <c r="AD104" s="379" t="n">
        <f aca="false">SUM(AD60:AD103)</f>
        <v>203537.240000001</v>
      </c>
      <c r="AE104" s="379" t="n">
        <f aca="false">SUM(AE60:AE103)</f>
        <v>203537.240000001</v>
      </c>
      <c r="AF104" s="379" t="n">
        <f aca="false">SUM(AF60:AF103)</f>
        <v>203537.240000001</v>
      </c>
      <c r="AG104" s="379" t="n">
        <f aca="false">SUM(AG60:AG103)</f>
        <v>203537.240000001</v>
      </c>
      <c r="AH104" s="379" t="n">
        <f aca="false">SUM(AH60:AH103)</f>
        <v>203537.240000001</v>
      </c>
      <c r="AI104" s="379" t="n">
        <f aca="false">SUM(AI60:AI103)</f>
        <v>203537.240000001</v>
      </c>
      <c r="AJ104" s="379" t="n">
        <f aca="false">SUM(AJ60:AJ103)</f>
        <v>203537.240000001</v>
      </c>
      <c r="AK104" s="379" t="n">
        <f aca="false">SUM(AK60:AK103)</f>
        <v>203537.240000001</v>
      </c>
      <c r="AL104" s="379" t="n">
        <f aca="false">SUM(AL60:AL103)</f>
        <v>203537.240000001</v>
      </c>
      <c r="AM104" s="379" t="n">
        <f aca="false">SUM(AM60:AM103)</f>
        <v>203537.240000001</v>
      </c>
      <c r="AN104" s="379" t="n">
        <f aca="false">SUM(AN60:AN103)</f>
        <v>203537.240000001</v>
      </c>
      <c r="AO104" s="379" t="n">
        <f aca="false">SUM(AO60:AO103)</f>
        <v>203537.240000001</v>
      </c>
      <c r="AP104" s="379" t="n">
        <f aca="false">SUM(AP60:AP103)</f>
        <v>203537.240000001</v>
      </c>
      <c r="AQ104" s="379" t="n">
        <f aca="false">SUM(AQ60:AQ103)</f>
        <v>203537.240000001</v>
      </c>
      <c r="AR104" s="379" t="n">
        <f aca="false">SUM(AR60:AR103)</f>
        <v>203537.240000001</v>
      </c>
      <c r="AS104" s="379" t="n">
        <f aca="false">SUM(AS60:AS103)</f>
        <v>203537.240000001</v>
      </c>
      <c r="AT104" s="379" t="n">
        <f aca="false">SUM(AT60:AT103)</f>
        <v>203537.240000001</v>
      </c>
      <c r="AU104" s="379" t="n">
        <f aca="false">SUM(AU60:AU103)</f>
        <v>203537.240000001</v>
      </c>
      <c r="AV104" s="379" t="n">
        <f aca="false">SUM(AV60:AV103)</f>
        <v>203537.240000001</v>
      </c>
      <c r="AW104" s="379" t="n">
        <f aca="false">SUM(AW60:AW103)</f>
        <v>203537.240000001</v>
      </c>
      <c r="AX104" s="379" t="n">
        <f aca="false">SUM(AX60:AX103)</f>
        <v>203537.240000001</v>
      </c>
      <c r="AY104" s="379" t="n">
        <f aca="false">SUM(AY60:AY103)</f>
        <v>203537.240000001</v>
      </c>
      <c r="AZ104" s="379" t="n">
        <f aca="false">SUM(AZ60:AZ103)</f>
        <v>203537.240000001</v>
      </c>
      <c r="BA104" s="379" t="n">
        <f aca="false">SUM(BA60:BA103)</f>
        <v>203537.240000001</v>
      </c>
      <c r="BB104" s="379" t="n">
        <f aca="false">SUM(BB60:BB103)</f>
        <v>203537.240000001</v>
      </c>
      <c r="BC104" s="379" t="n">
        <f aca="false">SUM(BC60:BC103)</f>
        <v>203537.240000001</v>
      </c>
      <c r="BD104" s="379" t="n">
        <f aca="false">SUM(BD60:BD103)</f>
        <v>203537.240000001</v>
      </c>
      <c r="BE104" s="379" t="n">
        <f aca="false">SUM(BE60:BE103)</f>
        <v>203537.240000001</v>
      </c>
      <c r="BF104" s="379" t="n">
        <f aca="false">SUM(BF60:BF103)</f>
        <v>203537.240000001</v>
      </c>
      <c r="BG104" s="379" t="n">
        <f aca="false">SUM(BG60:BG103)</f>
        <v>203537.240000001</v>
      </c>
      <c r="BH104" s="379" t="n">
        <f aca="false">SUM(BH60:BH103)</f>
        <v>203537.240000001</v>
      </c>
      <c r="BI104" s="379" t="n">
        <f aca="false">SUM(BI60:BI103)</f>
        <v>203537.240000001</v>
      </c>
      <c r="BJ104" s="379" t="n">
        <f aca="false">SUM(BJ60:BJ103)</f>
        <v>203537.240000001</v>
      </c>
      <c r="BK104" s="379" t="n">
        <f aca="false">SUM(BK60:BK103)</f>
        <v>203537.240000001</v>
      </c>
      <c r="BL104" s="379" t="n">
        <f aca="false">SUM(BL60:BL103)</f>
        <v>203537.240000001</v>
      </c>
      <c r="BM104" s="379" t="n">
        <f aca="false">SUM(BM60:BM103)</f>
        <v>203537.240000001</v>
      </c>
      <c r="BN104" s="379" t="n">
        <f aca="false">SUM(BN60:BN103)</f>
        <v>203537.240000001</v>
      </c>
      <c r="BO104" s="379" t="n">
        <f aca="false">SUM(BO60:BO103)</f>
        <v>203537.240000001</v>
      </c>
      <c r="BP104" s="379" t="n">
        <f aca="false">SUM(BP60:BP103)</f>
        <v>203537.240000001</v>
      </c>
      <c r="BQ104" s="379" t="n">
        <f aca="false">SUM(BQ60:BQ103)</f>
        <v>203537.240000001</v>
      </c>
      <c r="BR104" s="379" t="n">
        <f aca="false">SUM(BR60:BR103)</f>
        <v>203537.240000001</v>
      </c>
      <c r="BS104" s="379" t="n">
        <f aca="false">SUM(BS60:BS103)</f>
        <v>203537.240000001</v>
      </c>
      <c r="BT104" s="379" t="n">
        <f aca="false">SUM(BT60:BT103)</f>
        <v>203537.240000001</v>
      </c>
      <c r="BU104" s="379" t="n">
        <f aca="false">SUM(BU60:BU103)</f>
        <v>203537.240000001</v>
      </c>
      <c r="BV104" s="379" t="n">
        <f aca="false">SUM(BV60:BV103)</f>
        <v>203537.240000001</v>
      </c>
      <c r="BW104" s="379" t="n">
        <f aca="false">SUM(BW60:BW103)</f>
        <v>203537.240000001</v>
      </c>
      <c r="BX104" s="379" t="n">
        <f aca="false">SUM(BX60:BX103)</f>
        <v>203537.240000001</v>
      </c>
      <c r="BY104" s="379" t="n">
        <f aca="false">SUM(BY60:BY103)</f>
        <v>203537.240000001</v>
      </c>
      <c r="BZ104" s="379" t="n">
        <f aca="false">SUM(BZ60:BZ103)</f>
        <v>203537.240000001</v>
      </c>
      <c r="CA104" s="379" t="n">
        <f aca="false">SUM(CA60:CA103)</f>
        <v>203537.240000001</v>
      </c>
      <c r="CB104" s="379" t="n">
        <f aca="false">SUM(CB60:CB103)</f>
        <v>203537.240000001</v>
      </c>
      <c r="CC104" s="379" t="n">
        <f aca="false">SUM(CC60:CC103)</f>
        <v>203537.240000001</v>
      </c>
      <c r="CD104" s="379" t="n">
        <f aca="false">SUM(CD60:CD103)</f>
        <v>203537.240000001</v>
      </c>
      <c r="CE104" s="379" t="n">
        <f aca="false">SUM(CE60:CE103)</f>
        <v>203537.240000001</v>
      </c>
      <c r="CF104" s="379" t="n">
        <f aca="false">SUM(CF60:CF103)</f>
        <v>203537.240000001</v>
      </c>
      <c r="CG104" s="379" t="n">
        <f aca="false">SUM(CG60:CG103)</f>
        <v>203537.240000001</v>
      </c>
      <c r="CH104" s="379" t="n">
        <f aca="false">SUM(CH60:CH103)</f>
        <v>203537.240000001</v>
      </c>
      <c r="CI104" s="379" t="n">
        <f aca="false">SUM(CI60:CI103)</f>
        <v>203537.240000001</v>
      </c>
      <c r="CJ104" s="379" t="n">
        <f aca="false">SUM(CJ60:CJ103)</f>
        <v>203537.240000001</v>
      </c>
      <c r="CK104" s="379" t="n">
        <f aca="false">SUM(CK60:CK103)</f>
        <v>203537.240000001</v>
      </c>
      <c r="CL104" s="379" t="n">
        <f aca="false">SUM(CL60:CL103)</f>
        <v>203537.240000001</v>
      </c>
      <c r="CM104" s="379" t="n">
        <f aca="false">SUM(CM60:CM103)</f>
        <v>203537.240000001</v>
      </c>
      <c r="CN104" s="379" t="n">
        <f aca="false">SUM(CN60:CN103)</f>
        <v>203537.240000001</v>
      </c>
      <c r="CO104" s="379" t="n">
        <f aca="false">SUM(CO60:CO103)</f>
        <v>203537.240000001</v>
      </c>
      <c r="CP104" s="379" t="n">
        <f aca="false">SUM(CP60:CP103)</f>
        <v>203537.240000001</v>
      </c>
      <c r="CQ104" s="379" t="n">
        <f aca="false">SUM(CQ60:CQ103)</f>
        <v>203537.240000001</v>
      </c>
      <c r="CR104" s="379" t="n">
        <f aca="false">SUM(CR60:CR103)</f>
        <v>203537.240000001</v>
      </c>
      <c r="CS104" s="379" t="n">
        <f aca="false">SUM(CS60:CS103)</f>
        <v>203537.240000001</v>
      </c>
      <c r="CT104" s="379" t="n">
        <f aca="false">SUM(CT60:CT103)</f>
        <v>203537.240000001</v>
      </c>
      <c r="CU104" s="379" t="n">
        <f aca="false">SUM(CU60:CU103)</f>
        <v>203537.240000001</v>
      </c>
      <c r="CV104" s="379" t="n">
        <f aca="false">SUM(CV60:CV103)</f>
        <v>203537.240000001</v>
      </c>
      <c r="CW104" s="379" t="n">
        <f aca="false">SUM(CW60:CW103)</f>
        <v>203537.240000001</v>
      </c>
      <c r="CX104" s="379" t="n">
        <f aca="false">SUM(CX60:CX103)</f>
        <v>203537.240000001</v>
      </c>
      <c r="CY104" s="379" t="n">
        <f aca="false">SUM(CY60:CY103)</f>
        <v>203537.240000001</v>
      </c>
      <c r="CZ104" s="379" t="n">
        <f aca="false">SUM(CZ60:CZ103)</f>
        <v>203537.240000001</v>
      </c>
      <c r="DA104" s="379" t="n">
        <f aca="false">SUM(DA60:DA103)</f>
        <v>203537.240000001</v>
      </c>
      <c r="DB104" s="379" t="n">
        <f aca="false">SUM(DB60:DB103)</f>
        <v>203537.240000001</v>
      </c>
      <c r="DC104" s="379" t="n">
        <f aca="false">SUM(DC60:DC103)</f>
        <v>203537.240000001</v>
      </c>
      <c r="DD104" s="379" t="n">
        <f aca="false">SUM(DD60:DD103)</f>
        <v>203537.240000001</v>
      </c>
      <c r="DE104" s="379"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customHeight="false"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1346</v>
      </c>
    </row>
    <row r="2" customFormat="false" ht="13.5" hidden="false" customHeight="true" outlineLevel="0" collapsed="false">
      <c r="A2" s="207" t="s">
        <v>1347</v>
      </c>
    </row>
    <row r="4" customFormat="false" ht="13.5" hidden="false" customHeight="true" outlineLevel="0" collapsed="false">
      <c r="A4" s="211" t="s">
        <v>1348</v>
      </c>
      <c r="B4" s="212"/>
      <c r="C4" s="212"/>
      <c r="D4" s="212"/>
      <c r="E4" s="212"/>
      <c r="F4" s="212"/>
    </row>
    <row r="5" customFormat="false" ht="13.5" hidden="false" customHeight="true" outlineLevel="0" collapsed="false">
      <c r="A5" s="110" t="s">
        <v>1349</v>
      </c>
      <c r="B5" s="380" t="n">
        <v>0.875</v>
      </c>
    </row>
    <row r="6" customFormat="false" ht="13.5" hidden="false" customHeight="true" outlineLevel="0" collapsed="false">
      <c r="A6" s="110" t="s">
        <v>1350</v>
      </c>
      <c r="B6" s="380" t="n">
        <v>0.5</v>
      </c>
    </row>
    <row r="7" customFormat="false" ht="13.5" hidden="false" customHeight="true" outlineLevel="0" collapsed="false">
      <c r="A7" s="110" t="s">
        <v>1351</v>
      </c>
      <c r="B7" s="380" t="n">
        <v>0.25</v>
      </c>
    </row>
    <row r="8" customFormat="false" ht="13.5" hidden="false" customHeight="true" outlineLevel="0" collapsed="false">
      <c r="A8" s="110" t="s">
        <v>1352</v>
      </c>
      <c r="B8" s="380" t="n">
        <v>0.165</v>
      </c>
    </row>
    <row r="9" customFormat="false" ht="13.5" hidden="false" customHeight="true" outlineLevel="0" collapsed="false">
      <c r="A9" s="110" t="s">
        <v>1353</v>
      </c>
      <c r="B9" s="380" t="n">
        <v>0.5</v>
      </c>
    </row>
    <row r="10" customFormat="false" ht="13.5" hidden="false" customHeight="true" outlineLevel="0" collapsed="false">
      <c r="A10" s="110" t="s">
        <v>1354</v>
      </c>
      <c r="B10" s="380" t="n">
        <v>0.2</v>
      </c>
    </row>
    <row r="11" customFormat="false" ht="13.5" hidden="false" customHeight="true" outlineLevel="0" collapsed="false">
      <c r="A11" s="110" t="s">
        <v>1355</v>
      </c>
      <c r="B11" s="380" t="n">
        <v>0.5</v>
      </c>
    </row>
    <row r="12" customFormat="false" ht="13.5" hidden="false" customHeight="true" outlineLevel="0" collapsed="false">
      <c r="A12" s="110" t="s">
        <v>1356</v>
      </c>
      <c r="B12" s="381" t="n">
        <v>25000000</v>
      </c>
    </row>
    <row r="13" customFormat="false" ht="13.5" hidden="false" customHeight="true" outlineLevel="0" collapsed="false">
      <c r="A13" s="110" t="s">
        <v>1357</v>
      </c>
      <c r="B13" s="381" t="n">
        <v>10000000</v>
      </c>
    </row>
    <row r="14" customFormat="false" ht="13.5" hidden="false" customHeight="true" outlineLevel="0" collapsed="false">
      <c r="A14" s="110" t="s">
        <v>1358</v>
      </c>
      <c r="B14" s="380" t="n">
        <v>0</v>
      </c>
      <c r="C14" s="210" t="s">
        <v>1359</v>
      </c>
    </row>
    <row r="15" customFormat="false" ht="13.5" hidden="false" customHeight="true" outlineLevel="0" collapsed="false">
      <c r="A15" s="110" t="s">
        <v>1360</v>
      </c>
      <c r="B15" s="380" t="n">
        <v>0</v>
      </c>
    </row>
    <row r="16" customFormat="false" ht="13.5" hidden="false" customHeight="true" outlineLevel="0" collapsed="false">
      <c r="A16" s="110" t="s">
        <v>1361</v>
      </c>
      <c r="B16" s="380" t="n">
        <v>0</v>
      </c>
    </row>
    <row r="17" customFormat="false" ht="13.5" hidden="false" customHeight="true" outlineLevel="0" collapsed="false">
      <c r="A17" s="110" t="s">
        <v>1362</v>
      </c>
      <c r="B17" s="380" t="n">
        <v>1</v>
      </c>
    </row>
    <row r="18" customFormat="false" ht="13.5" hidden="false" customHeight="true" outlineLevel="0" collapsed="false">
      <c r="A18" s="110" t="s">
        <v>1363</v>
      </c>
      <c r="B18" s="380" t="n">
        <v>0.25</v>
      </c>
    </row>
    <row r="19" customFormat="false" ht="13.5" hidden="false" customHeight="true" outlineLevel="0" collapsed="false">
      <c r="A19" s="110" t="s">
        <v>1364</v>
      </c>
      <c r="B19" s="380" t="n">
        <v>6</v>
      </c>
      <c r="C19" s="210" t="s">
        <v>1365</v>
      </c>
    </row>
    <row r="20" customFormat="false" ht="13.5" hidden="false" customHeight="true" outlineLevel="0" collapsed="false">
      <c r="A20" s="110" t="s">
        <v>1366</v>
      </c>
      <c r="B20" s="380" t="n">
        <v>4</v>
      </c>
    </row>
    <row r="21" customFormat="false" ht="13.5" hidden="false" customHeight="true" outlineLevel="0" collapsed="false">
      <c r="A21" s="110" t="s">
        <v>1367</v>
      </c>
      <c r="B21" s="382" t="n">
        <v>0.15</v>
      </c>
    </row>
    <row r="22" customFormat="false" ht="13.5" hidden="false" customHeight="true" outlineLevel="0" collapsed="false">
      <c r="A22" s="110" t="s">
        <v>1368</v>
      </c>
      <c r="B22" s="380" t="n">
        <v>11</v>
      </c>
    </row>
    <row r="23" customFormat="false" ht="13.5" hidden="false" customHeight="true" outlineLevel="0" collapsed="false">
      <c r="A23" s="110" t="s">
        <v>1369</v>
      </c>
      <c r="B23" s="380" t="n">
        <v>13</v>
      </c>
    </row>
    <row r="25" customFormat="false" ht="13.5" hidden="false" customHeight="true" outlineLevel="0" collapsed="false">
      <c r="A25" s="211" t="s">
        <v>1370</v>
      </c>
      <c r="B25" s="212"/>
      <c r="C25" s="212"/>
      <c r="D25" s="212"/>
      <c r="E25" s="212"/>
      <c r="F25" s="212"/>
    </row>
    <row r="26" customFormat="false" ht="13.5" hidden="false" customHeight="true" outlineLevel="0" collapsed="false">
      <c r="A26" s="110" t="s">
        <v>708</v>
      </c>
      <c r="B26" s="381" t="n">
        <v>160000</v>
      </c>
    </row>
    <row r="27" customFormat="false" ht="13.5" hidden="false" customHeight="true" outlineLevel="0" collapsed="false">
      <c r="A27" s="110" t="s">
        <v>1371</v>
      </c>
      <c r="B27" s="381" t="n">
        <v>125000</v>
      </c>
    </row>
    <row r="28" customFormat="false" ht="13.5" hidden="false" customHeight="true" outlineLevel="0" collapsed="false">
      <c r="A28" s="110" t="s">
        <v>704</v>
      </c>
      <c r="B28" s="381" t="n">
        <v>130000</v>
      </c>
    </row>
    <row r="29" customFormat="false" ht="13.5" hidden="false" customHeight="true" outlineLevel="0" collapsed="false">
      <c r="A29" s="110" t="s">
        <v>648</v>
      </c>
      <c r="B29" s="381" t="n">
        <v>180000</v>
      </c>
    </row>
    <row r="30" customFormat="false" ht="13.5" hidden="false" customHeight="true" outlineLevel="0" collapsed="false">
      <c r="A30" s="110" t="s">
        <v>1372</v>
      </c>
      <c r="B30" s="381" t="n">
        <v>80000</v>
      </c>
    </row>
    <row r="32" customFormat="false" ht="13.5" hidden="false" customHeight="true" outlineLevel="0" collapsed="false">
      <c r="A32" s="211" t="s">
        <v>1373</v>
      </c>
      <c r="B32" s="212"/>
      <c r="C32" s="212"/>
      <c r="D32" s="212"/>
      <c r="E32" s="212"/>
      <c r="F32" s="212"/>
    </row>
    <row r="33" customFormat="false" ht="13.5" hidden="false" customHeight="true" outlineLevel="0" collapsed="false">
      <c r="E33" s="383" t="n">
        <f aca="false">Model!E2</f>
        <v>46113</v>
      </c>
      <c r="F33" s="383" t="n">
        <f aca="false">Model!F2</f>
        <v>46143</v>
      </c>
      <c r="G33" s="383" t="n">
        <f aca="false">Model!G2</f>
        <v>46174</v>
      </c>
      <c r="H33" s="383" t="n">
        <f aca="false">Model!H2</f>
        <v>46204</v>
      </c>
      <c r="I33" s="383" t="n">
        <f aca="false">Model!I2</f>
        <v>46235</v>
      </c>
      <c r="J33" s="383" t="n">
        <f aca="false">Model!J2</f>
        <v>46266</v>
      </c>
      <c r="K33" s="383" t="n">
        <f aca="false">Model!K2</f>
        <v>46296</v>
      </c>
      <c r="L33" s="383" t="n">
        <f aca="false">Model!L2</f>
        <v>46327</v>
      </c>
      <c r="M33" s="383" t="n">
        <f aca="false">Model!M2</f>
        <v>46357</v>
      </c>
      <c r="N33" s="383" t="n">
        <f aca="false">Model!N2</f>
        <v>46388</v>
      </c>
      <c r="O33" s="383" t="n">
        <f aca="false">Model!O2</f>
        <v>46419</v>
      </c>
      <c r="P33" s="383" t="n">
        <f aca="false">Model!P2</f>
        <v>46447</v>
      </c>
      <c r="Q33" s="383" t="n">
        <f aca="false">Model!Q2</f>
        <v>46478</v>
      </c>
      <c r="R33" s="383" t="n">
        <f aca="false">Model!R2</f>
        <v>46508</v>
      </c>
      <c r="S33" s="383" t="n">
        <f aca="false">Model!S2</f>
        <v>46539</v>
      </c>
      <c r="T33" s="383" t="n">
        <f aca="false">Model!T2</f>
        <v>46569</v>
      </c>
      <c r="U33" s="383" t="n">
        <f aca="false">Model!U2</f>
        <v>46600</v>
      </c>
      <c r="V33" s="383" t="n">
        <f aca="false">Model!V2</f>
        <v>46631</v>
      </c>
      <c r="W33" s="383" t="n">
        <f aca="false">Model!W2</f>
        <v>46661</v>
      </c>
      <c r="X33" s="383" t="n">
        <f aca="false">Model!X2</f>
        <v>46692</v>
      </c>
      <c r="Y33" s="383" t="n">
        <f aca="false">Model!Y2</f>
        <v>46722</v>
      </c>
      <c r="Z33" s="383" t="n">
        <f aca="false">Model!Z2</f>
        <v>46753</v>
      </c>
      <c r="AA33" s="383" t="n">
        <f aca="false">Model!AA2</f>
        <v>46784</v>
      </c>
      <c r="AB33" s="383" t="n">
        <f aca="false">Model!AB2</f>
        <v>46813</v>
      </c>
      <c r="AC33" s="383" t="n">
        <f aca="false">Model!AC2</f>
        <v>46844</v>
      </c>
      <c r="AD33" s="383" t="n">
        <f aca="false">Model!AD2</f>
        <v>46874</v>
      </c>
      <c r="AE33" s="383" t="n">
        <f aca="false">Model!AE2</f>
        <v>46905</v>
      </c>
      <c r="AF33" s="383" t="n">
        <f aca="false">Model!AF2</f>
        <v>46935</v>
      </c>
      <c r="AG33" s="383" t="n">
        <f aca="false">Model!AG2</f>
        <v>46966</v>
      </c>
      <c r="AH33" s="383" t="n">
        <f aca="false">Model!AH2</f>
        <v>46997</v>
      </c>
      <c r="AI33" s="383" t="n">
        <f aca="false">Model!AI2</f>
        <v>47027</v>
      </c>
      <c r="AJ33" s="383" t="n">
        <f aca="false">Model!AJ2</f>
        <v>47058</v>
      </c>
      <c r="AK33" s="383" t="n">
        <f aca="false">Model!AK2</f>
        <v>47088</v>
      </c>
      <c r="AL33" s="383" t="n">
        <f aca="false">Model!AL2</f>
        <v>47119</v>
      </c>
      <c r="AM33" s="383" t="n">
        <f aca="false">Model!AM2</f>
        <v>47150</v>
      </c>
      <c r="AN33" s="383" t="n">
        <f aca="false">Model!AN2</f>
        <v>47178</v>
      </c>
      <c r="AO33" s="383" t="n">
        <f aca="false">Model!AO2</f>
        <v>47209</v>
      </c>
      <c r="AP33" s="383" t="n">
        <f aca="false">Model!AP2</f>
        <v>47239</v>
      </c>
      <c r="AQ33" s="383" t="n">
        <f aca="false">Model!AQ2</f>
        <v>47270</v>
      </c>
      <c r="AR33" s="383" t="n">
        <f aca="false">Model!AR2</f>
        <v>47300</v>
      </c>
      <c r="AS33" s="383" t="n">
        <f aca="false">Model!AS2</f>
        <v>47331</v>
      </c>
      <c r="AT33" s="383" t="n">
        <f aca="false">Model!AT2</f>
        <v>47362</v>
      </c>
      <c r="AU33" s="383" t="n">
        <f aca="false">Model!AU2</f>
        <v>47392</v>
      </c>
      <c r="AV33" s="383" t="n">
        <f aca="false">Model!AV2</f>
        <v>47423</v>
      </c>
      <c r="AW33" s="383" t="n">
        <f aca="false">Model!AW2</f>
        <v>47453</v>
      </c>
      <c r="AX33" s="383" t="n">
        <f aca="false">Model!AX2</f>
        <v>47484</v>
      </c>
      <c r="AY33" s="383" t="n">
        <f aca="false">Model!AY2</f>
        <v>47515</v>
      </c>
      <c r="AZ33" s="383" t="n">
        <f aca="false">Model!AZ2</f>
        <v>47543</v>
      </c>
      <c r="BA33" s="383" t="n">
        <f aca="false">Model!BA2</f>
        <v>47574</v>
      </c>
      <c r="BB33" s="383" t="n">
        <f aca="false">Model!BB2</f>
        <v>47604</v>
      </c>
      <c r="BC33" s="383" t="n">
        <f aca="false">Model!BC2</f>
        <v>47635</v>
      </c>
      <c r="BD33" s="383" t="n">
        <f aca="false">Model!BD2</f>
        <v>47665</v>
      </c>
      <c r="BE33" s="383" t="n">
        <f aca="false">Model!BE2</f>
        <v>47696</v>
      </c>
      <c r="BF33" s="383" t="n">
        <f aca="false">Model!BF2</f>
        <v>47727</v>
      </c>
      <c r="BG33" s="383" t="n">
        <f aca="false">Model!BG2</f>
        <v>47757</v>
      </c>
      <c r="BH33" s="383" t="n">
        <f aca="false">Model!BH2</f>
        <v>47788</v>
      </c>
      <c r="BI33" s="383" t="n">
        <f aca="false">Model!BI2</f>
        <v>47818</v>
      </c>
      <c r="BJ33" s="383" t="n">
        <f aca="false">Model!BJ2</f>
        <v>47849</v>
      </c>
      <c r="BK33" s="383" t="n">
        <f aca="false">Model!BK2</f>
        <v>47880</v>
      </c>
      <c r="BL33" s="383" t="n">
        <f aca="false">Model!BL2</f>
        <v>47908</v>
      </c>
      <c r="BM33" s="383" t="n">
        <f aca="false">Model!BM2</f>
        <v>47939</v>
      </c>
      <c r="BN33" s="383" t="n">
        <f aca="false">Model!BN2</f>
        <v>47969</v>
      </c>
      <c r="BO33" s="383" t="n">
        <f aca="false">Model!BO2</f>
        <v>48000</v>
      </c>
      <c r="BP33" s="383" t="n">
        <f aca="false">Model!BP2</f>
        <v>48030</v>
      </c>
      <c r="BQ33" s="383" t="n">
        <f aca="false">Model!BQ2</f>
        <v>48061</v>
      </c>
      <c r="BR33" s="383" t="n">
        <f aca="false">Model!BR2</f>
        <v>48092</v>
      </c>
      <c r="BS33" s="383" t="n">
        <f aca="false">Model!BS2</f>
        <v>48122</v>
      </c>
      <c r="BT33" s="383" t="n">
        <f aca="false">Model!BT2</f>
        <v>48153</v>
      </c>
      <c r="BU33" s="383" t="n">
        <f aca="false">Model!BU2</f>
        <v>48183</v>
      </c>
      <c r="BV33" s="383" t="n">
        <f aca="false">Model!BV2</f>
        <v>48214</v>
      </c>
      <c r="BW33" s="383" t="n">
        <f aca="false">Model!BW2</f>
        <v>48245</v>
      </c>
      <c r="BX33" s="383" t="n">
        <f aca="false">Model!BX2</f>
        <v>48274</v>
      </c>
      <c r="BY33" s="383" t="n">
        <f aca="false">Model!BY2</f>
        <v>48305</v>
      </c>
      <c r="BZ33" s="383" t="n">
        <f aca="false">Model!BZ2</f>
        <v>48335</v>
      </c>
      <c r="CA33" s="383" t="n">
        <f aca="false">Model!CA2</f>
        <v>48366</v>
      </c>
      <c r="CB33" s="383" t="n">
        <f aca="false">Model!CB2</f>
        <v>48396</v>
      </c>
      <c r="CC33" s="383" t="n">
        <f aca="false">Model!CC2</f>
        <v>48427</v>
      </c>
      <c r="CD33" s="383" t="n">
        <f aca="false">Model!CD2</f>
        <v>48458</v>
      </c>
      <c r="CE33" s="383" t="n">
        <f aca="false">Model!CE2</f>
        <v>48488</v>
      </c>
      <c r="CF33" s="383" t="n">
        <f aca="false">Model!CF2</f>
        <v>48519</v>
      </c>
      <c r="CG33" s="383" t="n">
        <f aca="false">Model!CG2</f>
        <v>48549</v>
      </c>
      <c r="CH33" s="383" t="n">
        <f aca="false">Model!CH2</f>
        <v>48580</v>
      </c>
      <c r="CI33" s="383" t="n">
        <f aca="false">Model!CI2</f>
        <v>48611</v>
      </c>
      <c r="CJ33" s="383" t="n">
        <f aca="false">Model!CJ2</f>
        <v>48639</v>
      </c>
      <c r="CK33" s="383" t="n">
        <f aca="false">Model!CK2</f>
        <v>48670</v>
      </c>
      <c r="CL33" s="383" t="n">
        <f aca="false">Model!CL2</f>
        <v>48700</v>
      </c>
      <c r="CM33" s="383" t="n">
        <f aca="false">Model!CM2</f>
        <v>48731</v>
      </c>
      <c r="CN33" s="383" t="n">
        <f aca="false">Model!CN2</f>
        <v>48761</v>
      </c>
      <c r="CO33" s="383" t="n">
        <f aca="false">Model!CO2</f>
        <v>48792</v>
      </c>
      <c r="CP33" s="383" t="n">
        <f aca="false">Model!CP2</f>
        <v>48823</v>
      </c>
      <c r="CQ33" s="383" t="n">
        <f aca="false">Model!CQ2</f>
        <v>48853</v>
      </c>
      <c r="CR33" s="383" t="n">
        <f aca="false">Model!CR2</f>
        <v>48884</v>
      </c>
      <c r="CS33" s="383" t="n">
        <f aca="false">Model!CS2</f>
        <v>48914</v>
      </c>
      <c r="CT33" s="383" t="n">
        <f aca="false">Model!CT2</f>
        <v>48945</v>
      </c>
      <c r="CU33" s="383" t="n">
        <f aca="false">Model!CU2</f>
        <v>48976</v>
      </c>
      <c r="CV33" s="383" t="n">
        <f aca="false">Model!CV2</f>
        <v>49004</v>
      </c>
      <c r="CW33" s="383" t="n">
        <f aca="false">Model!CW2</f>
        <v>49035</v>
      </c>
      <c r="CX33" s="383" t="n">
        <f aca="false">Model!CX2</f>
        <v>49065</v>
      </c>
      <c r="CY33" s="383" t="n">
        <f aca="false">Model!CY2</f>
        <v>49096</v>
      </c>
      <c r="CZ33" s="383" t="n">
        <f aca="false">Model!CZ2</f>
        <v>49126</v>
      </c>
      <c r="DA33" s="383" t="n">
        <f aca="false">Model!DA2</f>
        <v>49157</v>
      </c>
      <c r="DB33" s="383" t="n">
        <f aca="false">Model!DB2</f>
        <v>49188</v>
      </c>
      <c r="DC33" s="383" t="n">
        <f aca="false">Model!DC2</f>
        <v>49218</v>
      </c>
      <c r="DD33" s="383" t="n">
        <f aca="false">Model!DD2</f>
        <v>49249</v>
      </c>
      <c r="DE33" s="383"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1374</v>
      </c>
      <c r="B36" s="212"/>
      <c r="C36" s="212"/>
      <c r="D36" s="212"/>
      <c r="E36" s="212"/>
      <c r="F36" s="212"/>
    </row>
    <row r="37" customFormat="false" ht="13.5" hidden="false" customHeight="true" outlineLevel="0" collapsed="false">
      <c r="A37" s="110" t="s">
        <v>1375</v>
      </c>
      <c r="E37" s="384" t="n">
        <f aca="false">SUMPRODUCT((Projects!$G$2:$G$45="Yes")*(1&gt;=Projects!$C$2:$C$45)*(1&lt;=Projects!$W$2:$W$45))</f>
        <v>5</v>
      </c>
      <c r="F37" s="384" t="n">
        <f aca="false">SUMPRODUCT((Projects!$G$2:$G$45="Yes")*(2&gt;=Projects!$C$2:$C$45)*(2&lt;=Projects!$W$2:$W$45))</f>
        <v>5</v>
      </c>
      <c r="G37" s="384" t="n">
        <f aca="false">SUMPRODUCT((Projects!$G$2:$G$45="Yes")*(3&gt;=Projects!$C$2:$C$45)*(3&lt;=Projects!$W$2:$W$45))</f>
        <v>5</v>
      </c>
      <c r="H37" s="384" t="n">
        <f aca="false">SUMPRODUCT((Projects!$G$2:$G$45="Yes")*(4&gt;=Projects!$C$2:$C$45)*(4&lt;=Projects!$W$2:$W$45))</f>
        <v>5</v>
      </c>
      <c r="I37" s="384" t="n">
        <f aca="false">SUMPRODUCT((Projects!$G$2:$G$45="Yes")*(5&gt;=Projects!$C$2:$C$45)*(5&lt;=Projects!$W$2:$W$45))</f>
        <v>7</v>
      </c>
      <c r="J37" s="384" t="n">
        <f aca="false">SUMPRODUCT((Projects!$G$2:$G$45="Yes")*(6&gt;=Projects!$C$2:$C$45)*(6&lt;=Projects!$W$2:$W$45))</f>
        <v>8</v>
      </c>
      <c r="K37" s="384" t="n">
        <f aca="false">SUMPRODUCT((Projects!$G$2:$G$45="Yes")*(7&gt;=Projects!$C$2:$C$45)*(7&lt;=Projects!$W$2:$W$45))</f>
        <v>8</v>
      </c>
      <c r="L37" s="384" t="n">
        <f aca="false">SUMPRODUCT((Projects!$G$2:$G$45="Yes")*(8&gt;=Projects!$C$2:$C$45)*(8&lt;=Projects!$W$2:$W$45))</f>
        <v>8</v>
      </c>
      <c r="M37" s="384" t="n">
        <f aca="false">SUMPRODUCT((Projects!$G$2:$G$45="Yes")*(9&gt;=Projects!$C$2:$C$45)*(9&lt;=Projects!$W$2:$W$45))</f>
        <v>8</v>
      </c>
      <c r="N37" s="384" t="n">
        <f aca="false">SUMPRODUCT((Projects!$G$2:$G$45="Yes")*(10&gt;=Projects!$C$2:$C$45)*(10&lt;=Projects!$W$2:$W$45))</f>
        <v>10</v>
      </c>
      <c r="O37" s="384" t="n">
        <f aca="false">SUMPRODUCT((Projects!$G$2:$G$45="Yes")*(11&gt;=Projects!$C$2:$C$45)*(11&lt;=Projects!$W$2:$W$45))</f>
        <v>11</v>
      </c>
      <c r="P37" s="384" t="n">
        <f aca="false">SUMPRODUCT((Projects!$G$2:$G$45="Yes")*(12&gt;=Projects!$C$2:$C$45)*(12&lt;=Projects!$W$2:$W$45))</f>
        <v>11</v>
      </c>
      <c r="Q37" s="384" t="n">
        <f aca="false">SUMPRODUCT((Projects!$G$2:$G$45="Yes")*(13&gt;=Projects!$C$2:$C$45)*(13&lt;=Projects!$W$2:$W$45))</f>
        <v>11</v>
      </c>
      <c r="R37" s="384" t="n">
        <f aca="false">SUMPRODUCT((Projects!$G$2:$G$45="Yes")*(14&gt;=Projects!$C$2:$C$45)*(14&lt;=Projects!$W$2:$W$45))</f>
        <v>11</v>
      </c>
      <c r="S37" s="384" t="n">
        <f aca="false">SUMPRODUCT((Projects!$G$2:$G$45="Yes")*(15&gt;=Projects!$C$2:$C$45)*(15&lt;=Projects!$W$2:$W$45))</f>
        <v>11</v>
      </c>
      <c r="T37" s="384" t="n">
        <f aca="false">SUMPRODUCT((Projects!$G$2:$G$45="Yes")*(16&gt;=Projects!$C$2:$C$45)*(16&lt;=Projects!$W$2:$W$45))</f>
        <v>10</v>
      </c>
      <c r="U37" s="384" t="n">
        <f aca="false">SUMPRODUCT((Projects!$G$2:$G$45="Yes")*(17&gt;=Projects!$C$2:$C$45)*(17&lt;=Projects!$W$2:$W$45))</f>
        <v>10</v>
      </c>
      <c r="V37" s="384" t="n">
        <f aca="false">SUMPRODUCT((Projects!$G$2:$G$45="Yes")*(18&gt;=Projects!$C$2:$C$45)*(18&lt;=Projects!$W$2:$W$45))</f>
        <v>9</v>
      </c>
      <c r="W37" s="384" t="n">
        <f aca="false">SUMPRODUCT((Projects!$G$2:$G$45="Yes")*(19&gt;=Projects!$C$2:$C$45)*(19&lt;=Projects!$W$2:$W$45))</f>
        <v>8</v>
      </c>
      <c r="X37" s="384" t="n">
        <f aca="false">SUMPRODUCT((Projects!$G$2:$G$45="Yes")*(20&gt;=Projects!$C$2:$C$45)*(20&lt;=Projects!$W$2:$W$45))</f>
        <v>7</v>
      </c>
      <c r="Y37" s="384" t="n">
        <f aca="false">SUMPRODUCT((Projects!$G$2:$G$45="Yes")*(21&gt;=Projects!$C$2:$C$45)*(21&lt;=Projects!$W$2:$W$45))</f>
        <v>7</v>
      </c>
      <c r="Z37" s="384" t="n">
        <f aca="false">SUMPRODUCT((Projects!$G$2:$G$45="Yes")*(22&gt;=Projects!$C$2:$C$45)*(22&lt;=Projects!$W$2:$W$45))</f>
        <v>7</v>
      </c>
      <c r="AA37" s="384" t="n">
        <f aca="false">SUMPRODUCT((Projects!$G$2:$G$45="Yes")*(23&gt;=Projects!$C$2:$C$45)*(23&lt;=Projects!$W$2:$W$45))</f>
        <v>7</v>
      </c>
      <c r="AB37" s="384" t="n">
        <f aca="false">SUMPRODUCT((Projects!$G$2:$G$45="Yes")*(24&gt;=Projects!$C$2:$C$45)*(24&lt;=Projects!$W$2:$W$45))</f>
        <v>6</v>
      </c>
      <c r="AC37" s="384" t="n">
        <f aca="false">SUMPRODUCT((Projects!$G$2:$G$45="Yes")*(25&gt;=Projects!$C$2:$C$45)*(25&lt;=Projects!$W$2:$W$45))</f>
        <v>5</v>
      </c>
      <c r="AD37" s="384" t="n">
        <f aca="false">SUMPRODUCT((Projects!$G$2:$G$45="Yes")*(26&gt;=Projects!$C$2:$C$45)*(26&lt;=Projects!$W$2:$W$45))</f>
        <v>5</v>
      </c>
      <c r="AE37" s="384" t="n">
        <f aca="false">SUMPRODUCT((Projects!$G$2:$G$45="Yes")*(27&gt;=Projects!$C$2:$C$45)*(27&lt;=Projects!$W$2:$W$45))</f>
        <v>5</v>
      </c>
      <c r="AF37" s="384" t="n">
        <f aca="false">SUMPRODUCT((Projects!$G$2:$G$45="Yes")*(28&gt;=Projects!$C$2:$C$45)*(28&lt;=Projects!$W$2:$W$45))</f>
        <v>5</v>
      </c>
      <c r="AG37" s="384" t="n">
        <f aca="false">SUMPRODUCT((Projects!$G$2:$G$45="Yes")*(29&gt;=Projects!$C$2:$C$45)*(29&lt;=Projects!$W$2:$W$45))</f>
        <v>3</v>
      </c>
      <c r="AH37" s="384" t="n">
        <f aca="false">SUMPRODUCT((Projects!$G$2:$G$45="Yes")*(30&gt;=Projects!$C$2:$C$45)*(30&lt;=Projects!$W$2:$W$45))</f>
        <v>2</v>
      </c>
      <c r="AI37" s="384" t="n">
        <f aca="false">SUMPRODUCT((Projects!$G$2:$G$45="Yes")*(31&gt;=Projects!$C$2:$C$45)*(31&lt;=Projects!$W$2:$W$45))</f>
        <v>2</v>
      </c>
      <c r="AJ37" s="384" t="n">
        <f aca="false">SUMPRODUCT((Projects!$G$2:$G$45="Yes")*(32&gt;=Projects!$C$2:$C$45)*(32&lt;=Projects!$W$2:$W$45))</f>
        <v>2</v>
      </c>
      <c r="AK37" s="384" t="n">
        <f aca="false">SUMPRODUCT((Projects!$G$2:$G$45="Yes")*(33&gt;=Projects!$C$2:$C$45)*(33&lt;=Projects!$W$2:$W$45))</f>
        <v>1</v>
      </c>
      <c r="AL37" s="384" t="n">
        <f aca="false">SUMPRODUCT((Projects!$G$2:$G$45="Yes")*(34&gt;=Projects!$C$2:$C$45)*(34&lt;=Projects!$W$2:$W$45))</f>
        <v>1</v>
      </c>
      <c r="AM37" s="384" t="n">
        <f aca="false">SUMPRODUCT((Projects!$G$2:$G$45="Yes")*(35&gt;=Projects!$C$2:$C$45)*(35&lt;=Projects!$W$2:$W$45))</f>
        <v>1</v>
      </c>
      <c r="AN37" s="384" t="n">
        <f aca="false">SUMPRODUCT((Projects!$G$2:$G$45="Yes")*(36&gt;=Projects!$C$2:$C$45)*(36&lt;=Projects!$W$2:$W$45))</f>
        <v>1</v>
      </c>
      <c r="AO37" s="384" t="n">
        <f aca="false">SUMPRODUCT((Projects!$G$2:$G$45="Yes")*(37&gt;=Projects!$C$2:$C$45)*(37&lt;=Projects!$W$2:$W$45))</f>
        <v>0</v>
      </c>
      <c r="AP37" s="384" t="n">
        <f aca="false">SUMPRODUCT((Projects!$G$2:$G$45="Yes")*(38&gt;=Projects!$C$2:$C$45)*(38&lt;=Projects!$W$2:$W$45))</f>
        <v>0</v>
      </c>
      <c r="AQ37" s="384" t="n">
        <f aca="false">SUMPRODUCT((Projects!$G$2:$G$45="Yes")*(39&gt;=Projects!$C$2:$C$45)*(39&lt;=Projects!$W$2:$W$45))</f>
        <v>0</v>
      </c>
      <c r="AR37" s="384" t="n">
        <f aca="false">SUMPRODUCT((Projects!$G$2:$G$45="Yes")*(40&gt;=Projects!$C$2:$C$45)*(40&lt;=Projects!$W$2:$W$45))</f>
        <v>0</v>
      </c>
      <c r="AS37" s="384" t="n">
        <f aca="false">SUMPRODUCT((Projects!$G$2:$G$45="Yes")*(41&gt;=Projects!$C$2:$C$45)*(41&lt;=Projects!$W$2:$W$45))</f>
        <v>0</v>
      </c>
      <c r="AT37" s="384" t="n">
        <f aca="false">SUMPRODUCT((Projects!$G$2:$G$45="Yes")*(42&gt;=Projects!$C$2:$C$45)*(42&lt;=Projects!$W$2:$W$45))</f>
        <v>0</v>
      </c>
      <c r="AU37" s="384" t="n">
        <f aca="false">SUMPRODUCT((Projects!$G$2:$G$45="Yes")*(43&gt;=Projects!$C$2:$C$45)*(43&lt;=Projects!$W$2:$W$45))</f>
        <v>0</v>
      </c>
      <c r="AV37" s="384" t="n">
        <f aca="false">SUMPRODUCT((Projects!$G$2:$G$45="Yes")*(44&gt;=Projects!$C$2:$C$45)*(44&lt;=Projects!$W$2:$W$45))</f>
        <v>0</v>
      </c>
      <c r="AW37" s="384" t="n">
        <f aca="false">SUMPRODUCT((Projects!$G$2:$G$45="Yes")*(45&gt;=Projects!$C$2:$C$45)*(45&lt;=Projects!$W$2:$W$45))</f>
        <v>0</v>
      </c>
      <c r="AX37" s="384" t="n">
        <f aca="false">SUMPRODUCT((Projects!$G$2:$G$45="Yes")*(46&gt;=Projects!$C$2:$C$45)*(46&lt;=Projects!$W$2:$W$45))</f>
        <v>0</v>
      </c>
      <c r="AY37" s="384" t="n">
        <f aca="false">SUMPRODUCT((Projects!$G$2:$G$45="Yes")*(47&gt;=Projects!$C$2:$C$45)*(47&lt;=Projects!$W$2:$W$45))</f>
        <v>0</v>
      </c>
      <c r="AZ37" s="384" t="n">
        <f aca="false">SUMPRODUCT((Projects!$G$2:$G$45="Yes")*(48&gt;=Projects!$C$2:$C$45)*(48&lt;=Projects!$W$2:$W$45))</f>
        <v>0</v>
      </c>
      <c r="BA37" s="384" t="n">
        <f aca="false">SUMPRODUCT((Projects!$G$2:$G$45="Yes")*(49&gt;=Projects!$C$2:$C$45)*(49&lt;=Projects!$W$2:$W$45))</f>
        <v>0</v>
      </c>
      <c r="BB37" s="384" t="n">
        <f aca="false">SUMPRODUCT((Projects!$G$2:$G$45="Yes")*(50&gt;=Projects!$C$2:$C$45)*(50&lt;=Projects!$W$2:$W$45))</f>
        <v>0</v>
      </c>
      <c r="BC37" s="384" t="n">
        <f aca="false">SUMPRODUCT((Projects!$G$2:$G$45="Yes")*(51&gt;=Projects!$C$2:$C$45)*(51&lt;=Projects!$W$2:$W$45))</f>
        <v>0</v>
      </c>
      <c r="BD37" s="384" t="n">
        <f aca="false">SUMPRODUCT((Projects!$G$2:$G$45="Yes")*(52&gt;=Projects!$C$2:$C$45)*(52&lt;=Projects!$W$2:$W$45))</f>
        <v>0</v>
      </c>
      <c r="BE37" s="384" t="n">
        <f aca="false">SUMPRODUCT((Projects!$G$2:$G$45="Yes")*(53&gt;=Projects!$C$2:$C$45)*(53&lt;=Projects!$W$2:$W$45))</f>
        <v>0</v>
      </c>
      <c r="BF37" s="384" t="n">
        <f aca="false">SUMPRODUCT((Projects!$G$2:$G$45="Yes")*(54&gt;=Projects!$C$2:$C$45)*(54&lt;=Projects!$W$2:$W$45))</f>
        <v>0</v>
      </c>
      <c r="BG37" s="384" t="n">
        <f aca="false">SUMPRODUCT((Projects!$G$2:$G$45="Yes")*(55&gt;=Projects!$C$2:$C$45)*(55&lt;=Projects!$W$2:$W$45))</f>
        <v>0</v>
      </c>
      <c r="BH37" s="384" t="n">
        <f aca="false">SUMPRODUCT((Projects!$G$2:$G$45="Yes")*(56&gt;=Projects!$C$2:$C$45)*(56&lt;=Projects!$W$2:$W$45))</f>
        <v>0</v>
      </c>
      <c r="BI37" s="384" t="n">
        <f aca="false">SUMPRODUCT((Projects!$G$2:$G$45="Yes")*(57&gt;=Projects!$C$2:$C$45)*(57&lt;=Projects!$W$2:$W$45))</f>
        <v>0</v>
      </c>
      <c r="BJ37" s="384" t="n">
        <f aca="false">SUMPRODUCT((Projects!$G$2:$G$45="Yes")*(58&gt;=Projects!$C$2:$C$45)*(58&lt;=Projects!$W$2:$W$45))</f>
        <v>0</v>
      </c>
      <c r="BK37" s="384" t="n">
        <f aca="false">SUMPRODUCT((Projects!$G$2:$G$45="Yes")*(59&gt;=Projects!$C$2:$C$45)*(59&lt;=Projects!$W$2:$W$45))</f>
        <v>0</v>
      </c>
      <c r="BL37" s="384" t="n">
        <f aca="false">SUMPRODUCT((Projects!$G$2:$G$45="Yes")*(60&gt;=Projects!$C$2:$C$45)*(60&lt;=Projects!$W$2:$W$45))</f>
        <v>0</v>
      </c>
      <c r="BM37" s="384" t="n">
        <f aca="false">SUMPRODUCT((Projects!$G$2:$G$45="Yes")*(61&gt;=Projects!$C$2:$C$45)*(61&lt;=Projects!$W$2:$W$45))</f>
        <v>0</v>
      </c>
      <c r="BN37" s="384" t="n">
        <f aca="false">SUMPRODUCT((Projects!$G$2:$G$45="Yes")*(62&gt;=Projects!$C$2:$C$45)*(62&lt;=Projects!$W$2:$W$45))</f>
        <v>0</v>
      </c>
      <c r="BO37" s="384" t="n">
        <f aca="false">SUMPRODUCT((Projects!$G$2:$G$45="Yes")*(63&gt;=Projects!$C$2:$C$45)*(63&lt;=Projects!$W$2:$W$45))</f>
        <v>0</v>
      </c>
      <c r="BP37" s="384" t="n">
        <f aca="false">SUMPRODUCT((Projects!$G$2:$G$45="Yes")*(64&gt;=Projects!$C$2:$C$45)*(64&lt;=Projects!$W$2:$W$45))</f>
        <v>0</v>
      </c>
      <c r="BQ37" s="384" t="n">
        <f aca="false">SUMPRODUCT((Projects!$G$2:$G$45="Yes")*(65&gt;=Projects!$C$2:$C$45)*(65&lt;=Projects!$W$2:$W$45))</f>
        <v>0</v>
      </c>
      <c r="BR37" s="384" t="n">
        <f aca="false">SUMPRODUCT((Projects!$G$2:$G$45="Yes")*(66&gt;=Projects!$C$2:$C$45)*(66&lt;=Projects!$W$2:$W$45))</f>
        <v>0</v>
      </c>
      <c r="BS37" s="384" t="n">
        <f aca="false">SUMPRODUCT((Projects!$G$2:$G$45="Yes")*(67&gt;=Projects!$C$2:$C$45)*(67&lt;=Projects!$W$2:$W$45))</f>
        <v>0</v>
      </c>
      <c r="BT37" s="384" t="n">
        <f aca="false">SUMPRODUCT((Projects!$G$2:$G$45="Yes")*(68&gt;=Projects!$C$2:$C$45)*(68&lt;=Projects!$W$2:$W$45))</f>
        <v>0</v>
      </c>
      <c r="BU37" s="384" t="n">
        <f aca="false">SUMPRODUCT((Projects!$G$2:$G$45="Yes")*(69&gt;=Projects!$C$2:$C$45)*(69&lt;=Projects!$W$2:$W$45))</f>
        <v>0</v>
      </c>
      <c r="BV37" s="384" t="n">
        <f aca="false">SUMPRODUCT((Projects!$G$2:$G$45="Yes")*(70&gt;=Projects!$C$2:$C$45)*(70&lt;=Projects!$W$2:$W$45))</f>
        <v>0</v>
      </c>
      <c r="BW37" s="384" t="n">
        <f aca="false">SUMPRODUCT((Projects!$G$2:$G$45="Yes")*(71&gt;=Projects!$C$2:$C$45)*(71&lt;=Projects!$W$2:$W$45))</f>
        <v>0</v>
      </c>
      <c r="BX37" s="384" t="n">
        <f aca="false">SUMPRODUCT((Projects!$G$2:$G$45="Yes")*(72&gt;=Projects!$C$2:$C$45)*(72&lt;=Projects!$W$2:$W$45))</f>
        <v>0</v>
      </c>
      <c r="BY37" s="384" t="n">
        <f aca="false">SUMPRODUCT((Projects!$G$2:$G$45="Yes")*(73&gt;=Projects!$C$2:$C$45)*(73&lt;=Projects!$W$2:$W$45))</f>
        <v>0</v>
      </c>
      <c r="BZ37" s="384" t="n">
        <f aca="false">SUMPRODUCT((Projects!$G$2:$G$45="Yes")*(74&gt;=Projects!$C$2:$C$45)*(74&lt;=Projects!$W$2:$W$45))</f>
        <v>0</v>
      </c>
      <c r="CA37" s="384" t="n">
        <f aca="false">SUMPRODUCT((Projects!$G$2:$G$45="Yes")*(75&gt;=Projects!$C$2:$C$45)*(75&lt;=Projects!$W$2:$W$45))</f>
        <v>0</v>
      </c>
      <c r="CB37" s="384" t="n">
        <f aca="false">SUMPRODUCT((Projects!$G$2:$G$45="Yes")*(76&gt;=Projects!$C$2:$C$45)*(76&lt;=Projects!$W$2:$W$45))</f>
        <v>0</v>
      </c>
      <c r="CC37" s="384" t="n">
        <f aca="false">SUMPRODUCT((Projects!$G$2:$G$45="Yes")*(77&gt;=Projects!$C$2:$C$45)*(77&lt;=Projects!$W$2:$W$45))</f>
        <v>0</v>
      </c>
      <c r="CD37" s="384" t="n">
        <f aca="false">SUMPRODUCT((Projects!$G$2:$G$45="Yes")*(78&gt;=Projects!$C$2:$C$45)*(78&lt;=Projects!$W$2:$W$45))</f>
        <v>0</v>
      </c>
      <c r="CE37" s="384" t="n">
        <f aca="false">SUMPRODUCT((Projects!$G$2:$G$45="Yes")*(79&gt;=Projects!$C$2:$C$45)*(79&lt;=Projects!$W$2:$W$45))</f>
        <v>0</v>
      </c>
      <c r="CF37" s="384" t="n">
        <f aca="false">SUMPRODUCT((Projects!$G$2:$G$45="Yes")*(80&gt;=Projects!$C$2:$C$45)*(80&lt;=Projects!$W$2:$W$45))</f>
        <v>0</v>
      </c>
      <c r="CG37" s="384" t="n">
        <f aca="false">SUMPRODUCT((Projects!$G$2:$G$45="Yes")*(81&gt;=Projects!$C$2:$C$45)*(81&lt;=Projects!$W$2:$W$45))</f>
        <v>0</v>
      </c>
      <c r="CH37" s="384" t="n">
        <f aca="false">SUMPRODUCT((Projects!$G$2:$G$45="Yes")*(82&gt;=Projects!$C$2:$C$45)*(82&lt;=Projects!$W$2:$W$45))</f>
        <v>0</v>
      </c>
      <c r="CI37" s="384" t="n">
        <f aca="false">SUMPRODUCT((Projects!$G$2:$G$45="Yes")*(83&gt;=Projects!$C$2:$C$45)*(83&lt;=Projects!$W$2:$W$45))</f>
        <v>0</v>
      </c>
      <c r="CJ37" s="384" t="n">
        <f aca="false">SUMPRODUCT((Projects!$G$2:$G$45="Yes")*(84&gt;=Projects!$C$2:$C$45)*(84&lt;=Projects!$W$2:$W$45))</f>
        <v>0</v>
      </c>
      <c r="CK37" s="384" t="n">
        <f aca="false">SUMPRODUCT((Projects!$G$2:$G$45="Yes")*(85&gt;=Projects!$C$2:$C$45)*(85&lt;=Projects!$W$2:$W$45))</f>
        <v>0</v>
      </c>
      <c r="CL37" s="384" t="n">
        <f aca="false">SUMPRODUCT((Projects!$G$2:$G$45="Yes")*(86&gt;=Projects!$C$2:$C$45)*(86&lt;=Projects!$W$2:$W$45))</f>
        <v>0</v>
      </c>
      <c r="CM37" s="384" t="n">
        <f aca="false">SUMPRODUCT((Projects!$G$2:$G$45="Yes")*(87&gt;=Projects!$C$2:$C$45)*(87&lt;=Projects!$W$2:$W$45))</f>
        <v>0</v>
      </c>
      <c r="CN37" s="384" t="n">
        <f aca="false">SUMPRODUCT((Projects!$G$2:$G$45="Yes")*(88&gt;=Projects!$C$2:$C$45)*(88&lt;=Projects!$W$2:$W$45))</f>
        <v>0</v>
      </c>
      <c r="CO37" s="384" t="n">
        <f aca="false">SUMPRODUCT((Projects!$G$2:$G$45="Yes")*(89&gt;=Projects!$C$2:$C$45)*(89&lt;=Projects!$W$2:$W$45))</f>
        <v>0</v>
      </c>
      <c r="CP37" s="384" t="n">
        <f aca="false">SUMPRODUCT((Projects!$G$2:$G$45="Yes")*(90&gt;=Projects!$C$2:$C$45)*(90&lt;=Projects!$W$2:$W$45))</f>
        <v>0</v>
      </c>
      <c r="CQ37" s="384" t="n">
        <f aca="false">SUMPRODUCT((Projects!$G$2:$G$45="Yes")*(91&gt;=Projects!$C$2:$C$45)*(91&lt;=Projects!$W$2:$W$45))</f>
        <v>0</v>
      </c>
      <c r="CR37" s="384" t="n">
        <f aca="false">SUMPRODUCT((Projects!$G$2:$G$45="Yes")*(92&gt;=Projects!$C$2:$C$45)*(92&lt;=Projects!$W$2:$W$45))</f>
        <v>0</v>
      </c>
      <c r="CS37" s="384" t="n">
        <f aca="false">SUMPRODUCT((Projects!$G$2:$G$45="Yes")*(93&gt;=Projects!$C$2:$C$45)*(93&lt;=Projects!$W$2:$W$45))</f>
        <v>0</v>
      </c>
      <c r="CT37" s="384" t="n">
        <f aca="false">SUMPRODUCT((Projects!$G$2:$G$45="Yes")*(94&gt;=Projects!$C$2:$C$45)*(94&lt;=Projects!$W$2:$W$45))</f>
        <v>0</v>
      </c>
      <c r="CU37" s="384" t="n">
        <f aca="false">SUMPRODUCT((Projects!$G$2:$G$45="Yes")*(95&gt;=Projects!$C$2:$C$45)*(95&lt;=Projects!$W$2:$W$45))</f>
        <v>0</v>
      </c>
      <c r="CV37" s="384" t="n">
        <f aca="false">SUMPRODUCT((Projects!$G$2:$G$45="Yes")*(96&gt;=Projects!$C$2:$C$45)*(96&lt;=Projects!$W$2:$W$45))</f>
        <v>0</v>
      </c>
      <c r="CW37" s="384" t="n">
        <f aca="false">SUMPRODUCT((Projects!$G$2:$G$45="Yes")*(97&gt;=Projects!$C$2:$C$45)*(97&lt;=Projects!$W$2:$W$45))</f>
        <v>0</v>
      </c>
      <c r="CX37" s="384" t="n">
        <f aca="false">SUMPRODUCT((Projects!$G$2:$G$45="Yes")*(98&gt;=Projects!$C$2:$C$45)*(98&lt;=Projects!$W$2:$W$45))</f>
        <v>0</v>
      </c>
      <c r="CY37" s="384" t="n">
        <f aca="false">SUMPRODUCT((Projects!$G$2:$G$45="Yes")*(99&gt;=Projects!$C$2:$C$45)*(99&lt;=Projects!$W$2:$W$45))</f>
        <v>0</v>
      </c>
      <c r="CZ37" s="384" t="n">
        <f aca="false">SUMPRODUCT((Projects!$G$2:$G$45="Yes")*(100&gt;=Projects!$C$2:$C$45)*(100&lt;=Projects!$W$2:$W$45))</f>
        <v>0</v>
      </c>
      <c r="DA37" s="384" t="n">
        <f aca="false">SUMPRODUCT((Projects!$G$2:$G$45="Yes")*(101&gt;=Projects!$C$2:$C$45)*(101&lt;=Projects!$W$2:$W$45))</f>
        <v>0</v>
      </c>
      <c r="DB37" s="384" t="n">
        <f aca="false">SUMPRODUCT((Projects!$G$2:$G$45="Yes")*(102&gt;=Projects!$C$2:$C$45)*(102&lt;=Projects!$W$2:$W$45))</f>
        <v>0</v>
      </c>
      <c r="DC37" s="384" t="n">
        <f aca="false">SUMPRODUCT((Projects!$G$2:$G$45="Yes")*(103&gt;=Projects!$C$2:$C$45)*(103&lt;=Projects!$W$2:$W$45))</f>
        <v>0</v>
      </c>
      <c r="DD37" s="384" t="n">
        <f aca="false">SUMPRODUCT((Projects!$G$2:$G$45="Yes")*(104&gt;=Projects!$C$2:$C$45)*(104&lt;=Projects!$W$2:$W$45))</f>
        <v>0</v>
      </c>
      <c r="DE37" s="384" t="n">
        <f aca="false">SUMPRODUCT((Projects!$G$2:$G$45="Yes")*(105&gt;=Projects!$C$2:$C$45)*(105&lt;=Projects!$W$2:$W$45))</f>
        <v>0</v>
      </c>
    </row>
    <row r="38" customFormat="false" ht="13.5" hidden="false" customHeight="true" outlineLevel="0" collapsed="false">
      <c r="A38" s="110" t="s">
        <v>1376</v>
      </c>
      <c r="E38" s="384" t="n">
        <f aca="false">SUMPRODUCT((Projects!$G$2:$G$45="Yes")*(1&gt;=Projects!$C$2:$C$45-$B$14)*(1&lt;=Projects!$W$2:$W$45+$B$17))*$B$5</f>
        <v>4.375</v>
      </c>
      <c r="F38" s="384" t="n">
        <f aca="false">SUMPRODUCT((Projects!$G$2:$G$45="Yes")*(2&gt;=Projects!$C$2:$C$45-$B$14)*(2&lt;=Projects!$W$2:$W$45+$B$17))*$B$5</f>
        <v>4.375</v>
      </c>
      <c r="G38" s="384" t="n">
        <f aca="false">SUMPRODUCT((Projects!$G$2:$G$45="Yes")*(3&gt;=Projects!$C$2:$C$45-$B$14)*(3&lt;=Projects!$W$2:$W$45+$B$17))*$B$5</f>
        <v>4.375</v>
      </c>
      <c r="H38" s="384" t="n">
        <f aca="false">SUMPRODUCT((Projects!$G$2:$G$45="Yes")*(4&gt;=Projects!$C$2:$C$45-$B$14)*(4&lt;=Projects!$W$2:$W$45+$B$17))*$B$5</f>
        <v>4.375</v>
      </c>
      <c r="I38" s="384" t="n">
        <f aca="false">SUMPRODUCT((Projects!$G$2:$G$45="Yes")*(5&gt;=Projects!$C$2:$C$45-$B$14)*(5&lt;=Projects!$W$2:$W$45+$B$17))*$B$5</f>
        <v>6.125</v>
      </c>
      <c r="J38" s="384" t="n">
        <f aca="false">SUMPRODUCT((Projects!$G$2:$G$45="Yes")*(6&gt;=Projects!$C$2:$C$45-$B$14)*(6&lt;=Projects!$W$2:$W$45+$B$17))*$B$5</f>
        <v>7</v>
      </c>
      <c r="K38" s="384" t="n">
        <f aca="false">SUMPRODUCT((Projects!$G$2:$G$45="Yes")*(7&gt;=Projects!$C$2:$C$45-$B$14)*(7&lt;=Projects!$W$2:$W$45+$B$17))*$B$5</f>
        <v>7</v>
      </c>
      <c r="L38" s="384" t="n">
        <f aca="false">SUMPRODUCT((Projects!$G$2:$G$45="Yes")*(8&gt;=Projects!$C$2:$C$45-$B$14)*(8&lt;=Projects!$W$2:$W$45+$B$17))*$B$5</f>
        <v>7</v>
      </c>
      <c r="M38" s="384" t="n">
        <f aca="false">SUMPRODUCT((Projects!$G$2:$G$45="Yes")*(9&gt;=Projects!$C$2:$C$45-$B$14)*(9&lt;=Projects!$W$2:$W$45+$B$17))*$B$5</f>
        <v>7.875</v>
      </c>
      <c r="N38" s="384" t="n">
        <f aca="false">SUMPRODUCT((Projects!$G$2:$G$45="Yes")*(10&gt;=Projects!$C$2:$C$45-$B$14)*(10&lt;=Projects!$W$2:$W$45+$B$17))*$B$5</f>
        <v>8.75</v>
      </c>
      <c r="O38" s="384" t="n">
        <f aca="false">SUMPRODUCT((Projects!$G$2:$G$45="Yes")*(11&gt;=Projects!$C$2:$C$45-$B$14)*(11&lt;=Projects!$W$2:$W$45+$B$17))*$B$5</f>
        <v>9.625</v>
      </c>
      <c r="P38" s="384" t="n">
        <f aca="false">SUMPRODUCT((Projects!$G$2:$G$45="Yes")*(12&gt;=Projects!$C$2:$C$45-$B$14)*(12&lt;=Projects!$W$2:$W$45+$B$17))*$B$5</f>
        <v>9.625</v>
      </c>
      <c r="Q38" s="384" t="n">
        <f aca="false">SUMPRODUCT((Projects!$G$2:$G$45="Yes")*(13&gt;=Projects!$C$2:$C$45-$B$14)*(13&lt;=Projects!$W$2:$W$45+$B$17))*$B$5</f>
        <v>9.625</v>
      </c>
      <c r="R38" s="384" t="n">
        <f aca="false">SUMPRODUCT((Projects!$G$2:$G$45="Yes")*(14&gt;=Projects!$C$2:$C$45-$B$14)*(14&lt;=Projects!$W$2:$W$45+$B$17))*$B$5</f>
        <v>9.625</v>
      </c>
      <c r="S38" s="384" t="n">
        <f aca="false">SUMPRODUCT((Projects!$G$2:$G$45="Yes")*(15&gt;=Projects!$C$2:$C$45-$B$14)*(15&lt;=Projects!$W$2:$W$45+$B$17))*$B$5</f>
        <v>9.625</v>
      </c>
      <c r="T38" s="384" t="n">
        <f aca="false">SUMPRODUCT((Projects!$G$2:$G$45="Yes")*(16&gt;=Projects!$C$2:$C$45-$B$14)*(16&lt;=Projects!$W$2:$W$45+$B$17))*$B$5</f>
        <v>9.625</v>
      </c>
      <c r="U38" s="384" t="n">
        <f aca="false">SUMPRODUCT((Projects!$G$2:$G$45="Yes")*(17&gt;=Projects!$C$2:$C$45-$B$14)*(17&lt;=Projects!$W$2:$W$45+$B$17))*$B$5</f>
        <v>8.75</v>
      </c>
      <c r="V38" s="384" t="n">
        <f aca="false">SUMPRODUCT((Projects!$G$2:$G$45="Yes")*(18&gt;=Projects!$C$2:$C$45-$B$14)*(18&lt;=Projects!$W$2:$W$45+$B$17))*$B$5</f>
        <v>8.75</v>
      </c>
      <c r="W38" s="384" t="n">
        <f aca="false">SUMPRODUCT((Projects!$G$2:$G$45="Yes")*(19&gt;=Projects!$C$2:$C$45-$B$14)*(19&lt;=Projects!$W$2:$W$45+$B$17))*$B$5</f>
        <v>7.875</v>
      </c>
      <c r="X38" s="384" t="n">
        <f aca="false">SUMPRODUCT((Projects!$G$2:$G$45="Yes")*(20&gt;=Projects!$C$2:$C$45-$B$14)*(20&lt;=Projects!$W$2:$W$45+$B$17))*$B$5</f>
        <v>7</v>
      </c>
      <c r="Y38" s="384" t="n">
        <f aca="false">SUMPRODUCT((Projects!$G$2:$G$45="Yes")*(21&gt;=Projects!$C$2:$C$45-$B$14)*(21&lt;=Projects!$W$2:$W$45+$B$17))*$B$5</f>
        <v>6.125</v>
      </c>
      <c r="Z38" s="384" t="n">
        <f aca="false">SUMPRODUCT((Projects!$G$2:$G$45="Yes")*(22&gt;=Projects!$C$2:$C$45-$B$14)*(22&lt;=Projects!$W$2:$W$45+$B$17))*$B$5</f>
        <v>6.125</v>
      </c>
      <c r="AA38" s="384" t="n">
        <f aca="false">SUMPRODUCT((Projects!$G$2:$G$45="Yes")*(23&gt;=Projects!$C$2:$C$45-$B$14)*(23&lt;=Projects!$W$2:$W$45+$B$17))*$B$5</f>
        <v>6.125</v>
      </c>
      <c r="AB38" s="384" t="n">
        <f aca="false">SUMPRODUCT((Projects!$G$2:$G$45="Yes")*(24&gt;=Projects!$C$2:$C$45-$B$14)*(24&lt;=Projects!$W$2:$W$45+$B$17))*$B$5</f>
        <v>6.125</v>
      </c>
      <c r="AC38" s="384" t="n">
        <f aca="false">SUMPRODUCT((Projects!$G$2:$G$45="Yes")*(25&gt;=Projects!$C$2:$C$45-$B$14)*(25&lt;=Projects!$W$2:$W$45+$B$17))*$B$5</f>
        <v>5.25</v>
      </c>
      <c r="AD38" s="384" t="n">
        <f aca="false">SUMPRODUCT((Projects!$G$2:$G$45="Yes")*(26&gt;=Projects!$C$2:$C$45-$B$14)*(26&lt;=Projects!$W$2:$W$45+$B$17))*$B$5</f>
        <v>4.375</v>
      </c>
      <c r="AE38" s="384" t="n">
        <f aca="false">SUMPRODUCT((Projects!$G$2:$G$45="Yes")*(27&gt;=Projects!$C$2:$C$45-$B$14)*(27&lt;=Projects!$W$2:$W$45+$B$17))*$B$5</f>
        <v>4.375</v>
      </c>
      <c r="AF38" s="384" t="n">
        <f aca="false">SUMPRODUCT((Projects!$G$2:$G$45="Yes")*(28&gt;=Projects!$C$2:$C$45-$B$14)*(28&lt;=Projects!$W$2:$W$45+$B$17))*$B$5</f>
        <v>4.375</v>
      </c>
      <c r="AG38" s="384" t="n">
        <f aca="false">SUMPRODUCT((Projects!$G$2:$G$45="Yes")*(29&gt;=Projects!$C$2:$C$45-$B$14)*(29&lt;=Projects!$W$2:$W$45+$B$17))*$B$5</f>
        <v>4.375</v>
      </c>
      <c r="AH38" s="384" t="n">
        <f aca="false">SUMPRODUCT((Projects!$G$2:$G$45="Yes")*(30&gt;=Projects!$C$2:$C$45-$B$14)*(30&lt;=Projects!$W$2:$W$45+$B$17))*$B$5</f>
        <v>2.625</v>
      </c>
      <c r="AI38" s="384" t="n">
        <f aca="false">SUMPRODUCT((Projects!$G$2:$G$45="Yes")*(31&gt;=Projects!$C$2:$C$45-$B$14)*(31&lt;=Projects!$W$2:$W$45+$B$17))*$B$5</f>
        <v>1.75</v>
      </c>
      <c r="AJ38" s="384" t="n">
        <f aca="false">SUMPRODUCT((Projects!$G$2:$G$45="Yes")*(32&gt;=Projects!$C$2:$C$45-$B$14)*(32&lt;=Projects!$W$2:$W$45+$B$17))*$B$5</f>
        <v>1.75</v>
      </c>
      <c r="AK38" s="384" t="n">
        <f aca="false">SUMPRODUCT((Projects!$G$2:$G$45="Yes")*(33&gt;=Projects!$C$2:$C$45-$B$14)*(33&lt;=Projects!$W$2:$W$45+$B$17))*$B$5</f>
        <v>1.75</v>
      </c>
      <c r="AL38" s="384" t="n">
        <f aca="false">SUMPRODUCT((Projects!$G$2:$G$45="Yes")*(34&gt;=Projects!$C$2:$C$45-$B$14)*(34&lt;=Projects!$W$2:$W$45+$B$17))*$B$5</f>
        <v>0.875</v>
      </c>
      <c r="AM38" s="384" t="n">
        <f aca="false">SUMPRODUCT((Projects!$G$2:$G$45="Yes")*(35&gt;=Projects!$C$2:$C$45-$B$14)*(35&lt;=Projects!$W$2:$W$45+$B$17))*$B$5</f>
        <v>0.875</v>
      </c>
      <c r="AN38" s="384" t="n">
        <f aca="false">SUMPRODUCT((Projects!$G$2:$G$45="Yes")*(36&gt;=Projects!$C$2:$C$45-$B$14)*(36&lt;=Projects!$W$2:$W$45+$B$17))*$B$5</f>
        <v>0.875</v>
      </c>
      <c r="AO38" s="384" t="n">
        <f aca="false">SUMPRODUCT((Projects!$G$2:$G$45="Yes")*(37&gt;=Projects!$C$2:$C$45-$B$14)*(37&lt;=Projects!$W$2:$W$45+$B$17))*$B$5</f>
        <v>0.875</v>
      </c>
      <c r="AP38" s="384" t="n">
        <f aca="false">SUMPRODUCT((Projects!$G$2:$G$45="Yes")*(38&gt;=Projects!$C$2:$C$45-$B$14)*(38&lt;=Projects!$W$2:$W$45+$B$17))*$B$5</f>
        <v>0</v>
      </c>
      <c r="AQ38" s="384" t="n">
        <f aca="false">SUMPRODUCT((Projects!$G$2:$G$45="Yes")*(39&gt;=Projects!$C$2:$C$45-$B$14)*(39&lt;=Projects!$W$2:$W$45+$B$17))*$B$5</f>
        <v>0</v>
      </c>
      <c r="AR38" s="384" t="n">
        <f aca="false">SUMPRODUCT((Projects!$G$2:$G$45="Yes")*(40&gt;=Projects!$C$2:$C$45-$B$14)*(40&lt;=Projects!$W$2:$W$45+$B$17))*$B$5</f>
        <v>0</v>
      </c>
      <c r="AS38" s="384" t="n">
        <f aca="false">SUMPRODUCT((Projects!$G$2:$G$45="Yes")*(41&gt;=Projects!$C$2:$C$45-$B$14)*(41&lt;=Projects!$W$2:$W$45+$B$17))*$B$5</f>
        <v>0</v>
      </c>
      <c r="AT38" s="384" t="n">
        <f aca="false">SUMPRODUCT((Projects!$G$2:$G$45="Yes")*(42&gt;=Projects!$C$2:$C$45-$B$14)*(42&lt;=Projects!$W$2:$W$45+$B$17))*$B$5</f>
        <v>0</v>
      </c>
      <c r="AU38" s="384" t="n">
        <f aca="false">SUMPRODUCT((Projects!$G$2:$G$45="Yes")*(43&gt;=Projects!$C$2:$C$45-$B$14)*(43&lt;=Projects!$W$2:$W$45+$B$17))*$B$5</f>
        <v>0</v>
      </c>
      <c r="AV38" s="384" t="n">
        <f aca="false">SUMPRODUCT((Projects!$G$2:$G$45="Yes")*(44&gt;=Projects!$C$2:$C$45-$B$14)*(44&lt;=Projects!$W$2:$W$45+$B$17))*$B$5</f>
        <v>0</v>
      </c>
      <c r="AW38" s="384" t="n">
        <f aca="false">SUMPRODUCT((Projects!$G$2:$G$45="Yes")*(45&gt;=Projects!$C$2:$C$45-$B$14)*(45&lt;=Projects!$W$2:$W$45+$B$17))*$B$5</f>
        <v>0</v>
      </c>
      <c r="AX38" s="384" t="n">
        <f aca="false">SUMPRODUCT((Projects!$G$2:$G$45="Yes")*(46&gt;=Projects!$C$2:$C$45-$B$14)*(46&lt;=Projects!$W$2:$W$45+$B$17))*$B$5</f>
        <v>0</v>
      </c>
      <c r="AY38" s="384" t="n">
        <f aca="false">SUMPRODUCT((Projects!$G$2:$G$45="Yes")*(47&gt;=Projects!$C$2:$C$45-$B$14)*(47&lt;=Projects!$W$2:$W$45+$B$17))*$B$5</f>
        <v>0</v>
      </c>
      <c r="AZ38" s="384" t="n">
        <f aca="false">SUMPRODUCT((Projects!$G$2:$G$45="Yes")*(48&gt;=Projects!$C$2:$C$45-$B$14)*(48&lt;=Projects!$W$2:$W$45+$B$17))*$B$5</f>
        <v>0</v>
      </c>
      <c r="BA38" s="384" t="n">
        <f aca="false">SUMPRODUCT((Projects!$G$2:$G$45="Yes")*(49&gt;=Projects!$C$2:$C$45-$B$14)*(49&lt;=Projects!$W$2:$W$45+$B$17))*$B$5</f>
        <v>0</v>
      </c>
      <c r="BB38" s="384" t="n">
        <f aca="false">SUMPRODUCT((Projects!$G$2:$G$45="Yes")*(50&gt;=Projects!$C$2:$C$45-$B$14)*(50&lt;=Projects!$W$2:$W$45+$B$17))*$B$5</f>
        <v>0</v>
      </c>
      <c r="BC38" s="384" t="n">
        <f aca="false">SUMPRODUCT((Projects!$G$2:$G$45="Yes")*(51&gt;=Projects!$C$2:$C$45-$B$14)*(51&lt;=Projects!$W$2:$W$45+$B$17))*$B$5</f>
        <v>0</v>
      </c>
      <c r="BD38" s="384" t="n">
        <f aca="false">SUMPRODUCT((Projects!$G$2:$G$45="Yes")*(52&gt;=Projects!$C$2:$C$45-$B$14)*(52&lt;=Projects!$W$2:$W$45+$B$17))*$B$5</f>
        <v>0</v>
      </c>
      <c r="BE38" s="384" t="n">
        <f aca="false">SUMPRODUCT((Projects!$G$2:$G$45="Yes")*(53&gt;=Projects!$C$2:$C$45-$B$14)*(53&lt;=Projects!$W$2:$W$45+$B$17))*$B$5</f>
        <v>0</v>
      </c>
      <c r="BF38" s="384" t="n">
        <f aca="false">SUMPRODUCT((Projects!$G$2:$G$45="Yes")*(54&gt;=Projects!$C$2:$C$45-$B$14)*(54&lt;=Projects!$W$2:$W$45+$B$17))*$B$5</f>
        <v>0</v>
      </c>
      <c r="BG38" s="384" t="n">
        <f aca="false">SUMPRODUCT((Projects!$G$2:$G$45="Yes")*(55&gt;=Projects!$C$2:$C$45-$B$14)*(55&lt;=Projects!$W$2:$W$45+$B$17))*$B$5</f>
        <v>0</v>
      </c>
      <c r="BH38" s="384" t="n">
        <f aca="false">SUMPRODUCT((Projects!$G$2:$G$45="Yes")*(56&gt;=Projects!$C$2:$C$45-$B$14)*(56&lt;=Projects!$W$2:$W$45+$B$17))*$B$5</f>
        <v>0</v>
      </c>
      <c r="BI38" s="384" t="n">
        <f aca="false">SUMPRODUCT((Projects!$G$2:$G$45="Yes")*(57&gt;=Projects!$C$2:$C$45-$B$14)*(57&lt;=Projects!$W$2:$W$45+$B$17))*$B$5</f>
        <v>0</v>
      </c>
      <c r="BJ38" s="384" t="n">
        <f aca="false">SUMPRODUCT((Projects!$G$2:$G$45="Yes")*(58&gt;=Projects!$C$2:$C$45-$B$14)*(58&lt;=Projects!$W$2:$W$45+$B$17))*$B$5</f>
        <v>0</v>
      </c>
      <c r="BK38" s="384" t="n">
        <f aca="false">SUMPRODUCT((Projects!$G$2:$G$45="Yes")*(59&gt;=Projects!$C$2:$C$45-$B$14)*(59&lt;=Projects!$W$2:$W$45+$B$17))*$B$5</f>
        <v>0</v>
      </c>
      <c r="BL38" s="384" t="n">
        <f aca="false">SUMPRODUCT((Projects!$G$2:$G$45="Yes")*(60&gt;=Projects!$C$2:$C$45-$B$14)*(60&lt;=Projects!$W$2:$W$45+$B$17))*$B$5</f>
        <v>0</v>
      </c>
      <c r="BM38" s="384" t="n">
        <f aca="false">SUMPRODUCT((Projects!$G$2:$G$45="Yes")*(61&gt;=Projects!$C$2:$C$45-$B$14)*(61&lt;=Projects!$W$2:$W$45+$B$17))*$B$5</f>
        <v>0</v>
      </c>
      <c r="BN38" s="384" t="n">
        <f aca="false">SUMPRODUCT((Projects!$G$2:$G$45="Yes")*(62&gt;=Projects!$C$2:$C$45-$B$14)*(62&lt;=Projects!$W$2:$W$45+$B$17))*$B$5</f>
        <v>0</v>
      </c>
      <c r="BO38" s="384" t="n">
        <f aca="false">SUMPRODUCT((Projects!$G$2:$G$45="Yes")*(63&gt;=Projects!$C$2:$C$45-$B$14)*(63&lt;=Projects!$W$2:$W$45+$B$17))*$B$5</f>
        <v>0</v>
      </c>
      <c r="BP38" s="384" t="n">
        <f aca="false">SUMPRODUCT((Projects!$G$2:$G$45="Yes")*(64&gt;=Projects!$C$2:$C$45-$B$14)*(64&lt;=Projects!$W$2:$W$45+$B$17))*$B$5</f>
        <v>0</v>
      </c>
      <c r="BQ38" s="384" t="n">
        <f aca="false">SUMPRODUCT((Projects!$G$2:$G$45="Yes")*(65&gt;=Projects!$C$2:$C$45-$B$14)*(65&lt;=Projects!$W$2:$W$45+$B$17))*$B$5</f>
        <v>0</v>
      </c>
      <c r="BR38" s="384" t="n">
        <f aca="false">SUMPRODUCT((Projects!$G$2:$G$45="Yes")*(66&gt;=Projects!$C$2:$C$45-$B$14)*(66&lt;=Projects!$W$2:$W$45+$B$17))*$B$5</f>
        <v>0</v>
      </c>
      <c r="BS38" s="384" t="n">
        <f aca="false">SUMPRODUCT((Projects!$G$2:$G$45="Yes")*(67&gt;=Projects!$C$2:$C$45-$B$14)*(67&lt;=Projects!$W$2:$W$45+$B$17))*$B$5</f>
        <v>0</v>
      </c>
      <c r="BT38" s="384" t="n">
        <f aca="false">SUMPRODUCT((Projects!$G$2:$G$45="Yes")*(68&gt;=Projects!$C$2:$C$45-$B$14)*(68&lt;=Projects!$W$2:$W$45+$B$17))*$B$5</f>
        <v>0</v>
      </c>
      <c r="BU38" s="384" t="n">
        <f aca="false">SUMPRODUCT((Projects!$G$2:$G$45="Yes")*(69&gt;=Projects!$C$2:$C$45-$B$14)*(69&lt;=Projects!$W$2:$W$45+$B$17))*$B$5</f>
        <v>0</v>
      </c>
      <c r="BV38" s="384" t="n">
        <f aca="false">SUMPRODUCT((Projects!$G$2:$G$45="Yes")*(70&gt;=Projects!$C$2:$C$45-$B$14)*(70&lt;=Projects!$W$2:$W$45+$B$17))*$B$5</f>
        <v>0</v>
      </c>
      <c r="BW38" s="384" t="n">
        <f aca="false">SUMPRODUCT((Projects!$G$2:$G$45="Yes")*(71&gt;=Projects!$C$2:$C$45-$B$14)*(71&lt;=Projects!$W$2:$W$45+$B$17))*$B$5</f>
        <v>0</v>
      </c>
      <c r="BX38" s="384" t="n">
        <f aca="false">SUMPRODUCT((Projects!$G$2:$G$45="Yes")*(72&gt;=Projects!$C$2:$C$45-$B$14)*(72&lt;=Projects!$W$2:$W$45+$B$17))*$B$5</f>
        <v>0</v>
      </c>
      <c r="BY38" s="384" t="n">
        <f aca="false">SUMPRODUCT((Projects!$G$2:$G$45="Yes")*(73&gt;=Projects!$C$2:$C$45-$B$14)*(73&lt;=Projects!$W$2:$W$45+$B$17))*$B$5</f>
        <v>0</v>
      </c>
      <c r="BZ38" s="384" t="n">
        <f aca="false">SUMPRODUCT((Projects!$G$2:$G$45="Yes")*(74&gt;=Projects!$C$2:$C$45-$B$14)*(74&lt;=Projects!$W$2:$W$45+$B$17))*$B$5</f>
        <v>0</v>
      </c>
      <c r="CA38" s="384" t="n">
        <f aca="false">SUMPRODUCT((Projects!$G$2:$G$45="Yes")*(75&gt;=Projects!$C$2:$C$45-$B$14)*(75&lt;=Projects!$W$2:$W$45+$B$17))*$B$5</f>
        <v>0</v>
      </c>
      <c r="CB38" s="384" t="n">
        <f aca="false">SUMPRODUCT((Projects!$G$2:$G$45="Yes")*(76&gt;=Projects!$C$2:$C$45-$B$14)*(76&lt;=Projects!$W$2:$W$45+$B$17))*$B$5</f>
        <v>0</v>
      </c>
      <c r="CC38" s="384" t="n">
        <f aca="false">SUMPRODUCT((Projects!$G$2:$G$45="Yes")*(77&gt;=Projects!$C$2:$C$45-$B$14)*(77&lt;=Projects!$W$2:$W$45+$B$17))*$B$5</f>
        <v>0</v>
      </c>
      <c r="CD38" s="384" t="n">
        <f aca="false">SUMPRODUCT((Projects!$G$2:$G$45="Yes")*(78&gt;=Projects!$C$2:$C$45-$B$14)*(78&lt;=Projects!$W$2:$W$45+$B$17))*$B$5</f>
        <v>0</v>
      </c>
      <c r="CE38" s="384" t="n">
        <f aca="false">SUMPRODUCT((Projects!$G$2:$G$45="Yes")*(79&gt;=Projects!$C$2:$C$45-$B$14)*(79&lt;=Projects!$W$2:$W$45+$B$17))*$B$5</f>
        <v>0</v>
      </c>
      <c r="CF38" s="384" t="n">
        <f aca="false">SUMPRODUCT((Projects!$G$2:$G$45="Yes")*(80&gt;=Projects!$C$2:$C$45-$B$14)*(80&lt;=Projects!$W$2:$W$45+$B$17))*$B$5</f>
        <v>0</v>
      </c>
      <c r="CG38" s="384" t="n">
        <f aca="false">SUMPRODUCT((Projects!$G$2:$G$45="Yes")*(81&gt;=Projects!$C$2:$C$45-$B$14)*(81&lt;=Projects!$W$2:$W$45+$B$17))*$B$5</f>
        <v>0</v>
      </c>
      <c r="CH38" s="384" t="n">
        <f aca="false">SUMPRODUCT((Projects!$G$2:$G$45="Yes")*(82&gt;=Projects!$C$2:$C$45-$B$14)*(82&lt;=Projects!$W$2:$W$45+$B$17))*$B$5</f>
        <v>0</v>
      </c>
      <c r="CI38" s="384" t="n">
        <f aca="false">SUMPRODUCT((Projects!$G$2:$G$45="Yes")*(83&gt;=Projects!$C$2:$C$45-$B$14)*(83&lt;=Projects!$W$2:$W$45+$B$17))*$B$5</f>
        <v>0</v>
      </c>
      <c r="CJ38" s="384" t="n">
        <f aca="false">SUMPRODUCT((Projects!$G$2:$G$45="Yes")*(84&gt;=Projects!$C$2:$C$45-$B$14)*(84&lt;=Projects!$W$2:$W$45+$B$17))*$B$5</f>
        <v>0</v>
      </c>
      <c r="CK38" s="384" t="n">
        <f aca="false">SUMPRODUCT((Projects!$G$2:$G$45="Yes")*(85&gt;=Projects!$C$2:$C$45-$B$14)*(85&lt;=Projects!$W$2:$W$45+$B$17))*$B$5</f>
        <v>0</v>
      </c>
      <c r="CL38" s="384" t="n">
        <f aca="false">SUMPRODUCT((Projects!$G$2:$G$45="Yes")*(86&gt;=Projects!$C$2:$C$45-$B$14)*(86&lt;=Projects!$W$2:$W$45+$B$17))*$B$5</f>
        <v>0</v>
      </c>
      <c r="CM38" s="384" t="n">
        <f aca="false">SUMPRODUCT((Projects!$G$2:$G$45="Yes")*(87&gt;=Projects!$C$2:$C$45-$B$14)*(87&lt;=Projects!$W$2:$W$45+$B$17))*$B$5</f>
        <v>0</v>
      </c>
      <c r="CN38" s="384" t="n">
        <f aca="false">SUMPRODUCT((Projects!$G$2:$G$45="Yes")*(88&gt;=Projects!$C$2:$C$45-$B$14)*(88&lt;=Projects!$W$2:$W$45+$B$17))*$B$5</f>
        <v>0</v>
      </c>
      <c r="CO38" s="384" t="n">
        <f aca="false">SUMPRODUCT((Projects!$G$2:$G$45="Yes")*(89&gt;=Projects!$C$2:$C$45-$B$14)*(89&lt;=Projects!$W$2:$W$45+$B$17))*$B$5</f>
        <v>0</v>
      </c>
      <c r="CP38" s="384" t="n">
        <f aca="false">SUMPRODUCT((Projects!$G$2:$G$45="Yes")*(90&gt;=Projects!$C$2:$C$45-$B$14)*(90&lt;=Projects!$W$2:$W$45+$B$17))*$B$5</f>
        <v>0</v>
      </c>
      <c r="CQ38" s="384" t="n">
        <f aca="false">SUMPRODUCT((Projects!$G$2:$G$45="Yes")*(91&gt;=Projects!$C$2:$C$45-$B$14)*(91&lt;=Projects!$W$2:$W$45+$B$17))*$B$5</f>
        <v>0</v>
      </c>
      <c r="CR38" s="384" t="n">
        <f aca="false">SUMPRODUCT((Projects!$G$2:$G$45="Yes")*(92&gt;=Projects!$C$2:$C$45-$B$14)*(92&lt;=Projects!$W$2:$W$45+$B$17))*$B$5</f>
        <v>0</v>
      </c>
      <c r="CS38" s="384" t="n">
        <f aca="false">SUMPRODUCT((Projects!$G$2:$G$45="Yes")*(93&gt;=Projects!$C$2:$C$45-$B$14)*(93&lt;=Projects!$W$2:$W$45+$B$17))*$B$5</f>
        <v>0</v>
      </c>
      <c r="CT38" s="384" t="n">
        <f aca="false">SUMPRODUCT((Projects!$G$2:$G$45="Yes")*(94&gt;=Projects!$C$2:$C$45-$B$14)*(94&lt;=Projects!$W$2:$W$45+$B$17))*$B$5</f>
        <v>0</v>
      </c>
      <c r="CU38" s="384" t="n">
        <f aca="false">SUMPRODUCT((Projects!$G$2:$G$45="Yes")*(95&gt;=Projects!$C$2:$C$45-$B$14)*(95&lt;=Projects!$W$2:$W$45+$B$17))*$B$5</f>
        <v>0</v>
      </c>
      <c r="CV38" s="384" t="n">
        <f aca="false">SUMPRODUCT((Projects!$G$2:$G$45="Yes")*(96&gt;=Projects!$C$2:$C$45-$B$14)*(96&lt;=Projects!$W$2:$W$45+$B$17))*$B$5</f>
        <v>0</v>
      </c>
      <c r="CW38" s="384" t="n">
        <f aca="false">SUMPRODUCT((Projects!$G$2:$G$45="Yes")*(97&gt;=Projects!$C$2:$C$45-$B$14)*(97&lt;=Projects!$W$2:$W$45+$B$17))*$B$5</f>
        <v>0</v>
      </c>
      <c r="CX38" s="384" t="n">
        <f aca="false">SUMPRODUCT((Projects!$G$2:$G$45="Yes")*(98&gt;=Projects!$C$2:$C$45-$B$14)*(98&lt;=Projects!$W$2:$W$45+$B$17))*$B$5</f>
        <v>0</v>
      </c>
      <c r="CY38" s="384" t="n">
        <f aca="false">SUMPRODUCT((Projects!$G$2:$G$45="Yes")*(99&gt;=Projects!$C$2:$C$45-$B$14)*(99&lt;=Projects!$W$2:$W$45+$B$17))*$B$5</f>
        <v>0</v>
      </c>
      <c r="CZ38" s="384" t="n">
        <f aca="false">SUMPRODUCT((Projects!$G$2:$G$45="Yes")*(100&gt;=Projects!$C$2:$C$45-$B$14)*(100&lt;=Projects!$W$2:$W$45+$B$17))*$B$5</f>
        <v>0</v>
      </c>
      <c r="DA38" s="384" t="n">
        <f aca="false">SUMPRODUCT((Projects!$G$2:$G$45="Yes")*(101&gt;=Projects!$C$2:$C$45-$B$14)*(101&lt;=Projects!$W$2:$W$45+$B$17))*$B$5</f>
        <v>0</v>
      </c>
      <c r="DB38" s="384" t="n">
        <f aca="false">SUMPRODUCT((Projects!$G$2:$G$45="Yes")*(102&gt;=Projects!$C$2:$C$45-$B$14)*(102&lt;=Projects!$W$2:$W$45+$B$17))*$B$5</f>
        <v>0</v>
      </c>
      <c r="DC38" s="384" t="n">
        <f aca="false">SUMPRODUCT((Projects!$G$2:$G$45="Yes")*(103&gt;=Projects!$C$2:$C$45-$B$14)*(103&lt;=Projects!$W$2:$W$45+$B$17))*$B$5</f>
        <v>0</v>
      </c>
      <c r="DD38" s="384" t="n">
        <f aca="false">SUMPRODUCT((Projects!$G$2:$G$45="Yes")*(104&gt;=Projects!$C$2:$C$45-$B$14)*(104&lt;=Projects!$W$2:$W$45+$B$17))*$B$5</f>
        <v>0</v>
      </c>
      <c r="DE38" s="384" t="n">
        <f aca="false">SUMPRODUCT((Projects!$G$2:$G$45="Yes")*(105&gt;=Projects!$C$2:$C$45-$B$14)*(105&lt;=Projects!$W$2:$W$45+$B$17))*$B$5</f>
        <v>0</v>
      </c>
    </row>
    <row r="39" customFormat="false" ht="13.5" hidden="false" customHeight="true" outlineLevel="0" collapsed="false">
      <c r="A39" s="110" t="s">
        <v>1377</v>
      </c>
      <c r="E39" s="384" t="n">
        <f aca="false">SUMPRODUCT((Projects!$G$2:$G$45="Yes")*(1&gt;=Projects!$C$2:$C$45-$B$15)*((1&lt;=Projects!$W$2:$W$45-$B$106)*1+(1&gt;Projects!$W$2:$W$45-$B$106)*(1&lt;=Projects!$W$2:$W$45+$B$17)*$B$107)*((Projects!$B$2:$B$45&gt;=$B$12)*$B$6+(Projects!$B$2:$B$45&lt;$B$12)*(Projects!$B$2:$B$45&gt;=$B$13)*$B$7+(Projects!$B$2:$B$45&lt;$B$13)*$B$8))</f>
        <v>1.08</v>
      </c>
      <c r="F39" s="384" t="n">
        <f aca="false">SUMPRODUCT((Projects!$G$2:$G$45="Yes")*(2&gt;=Projects!$C$2:$C$45-$B$15)*((2&lt;=Projects!$W$2:$W$45-$B$106)*1+(2&gt;Projects!$W$2:$W$45-$B$106)*(2&lt;=Projects!$W$2:$W$45+$B$17)*$B$107)*((Projects!$B$2:$B$45&gt;=$B$12)*$B$6+(Projects!$B$2:$B$45&lt;$B$12)*(Projects!$B$2:$B$45&gt;=$B$13)*$B$7+(Projects!$B$2:$B$45&lt;$B$13)*$B$8))</f>
        <v>1.08</v>
      </c>
      <c r="G39" s="384" t="n">
        <f aca="false">SUMPRODUCT((Projects!$G$2:$G$45="Yes")*(3&gt;=Projects!$C$2:$C$45-$B$15)*((3&lt;=Projects!$W$2:$W$45-$B$106)*1+(3&gt;Projects!$W$2:$W$45-$B$106)*(3&lt;=Projects!$W$2:$W$45+$B$17)*$B$107)*((Projects!$B$2:$B$45&gt;=$B$12)*$B$6+(Projects!$B$2:$B$45&lt;$B$12)*(Projects!$B$2:$B$45&gt;=$B$13)*$B$7+(Projects!$B$2:$B$45&lt;$B$13)*$B$8))</f>
        <v>1.08</v>
      </c>
      <c r="H39" s="384" t="n">
        <f aca="false">SUMPRODUCT((Projects!$G$2:$G$45="Yes")*(4&gt;=Projects!$C$2:$C$45-$B$15)*((4&lt;=Projects!$W$2:$W$45-$B$106)*1+(4&gt;Projects!$W$2:$W$45-$B$106)*(4&lt;=Projects!$W$2:$W$45+$B$17)*$B$107)*((Projects!$B$2:$B$45&gt;=$B$12)*$B$6+(Projects!$B$2:$B$45&lt;$B$12)*(Projects!$B$2:$B$45&gt;=$B$13)*$B$7+(Projects!$B$2:$B$45&lt;$B$13)*$B$8))</f>
        <v>1.08</v>
      </c>
      <c r="I39" s="384" t="n">
        <f aca="false">SUMPRODUCT((Projects!$G$2:$G$45="Yes")*(5&gt;=Projects!$C$2:$C$45-$B$15)*((5&lt;=Projects!$W$2:$W$45-$B$106)*1+(5&gt;Projects!$W$2:$W$45-$B$106)*(5&lt;=Projects!$W$2:$W$45+$B$17)*$B$107)*((Projects!$B$2:$B$45&gt;=$B$12)*$B$6+(Projects!$B$2:$B$45&lt;$B$12)*(Projects!$B$2:$B$45&gt;=$B$13)*$B$7+(Projects!$B$2:$B$45&lt;$B$13)*$B$8))</f>
        <v>1.83</v>
      </c>
      <c r="J39" s="384" t="n">
        <f aca="false">SUMPRODUCT((Projects!$G$2:$G$45="Yes")*(6&gt;=Projects!$C$2:$C$45-$B$15)*((6&lt;=Projects!$W$2:$W$45-$B$106)*1+(6&gt;Projects!$W$2:$W$45-$B$106)*(6&lt;=Projects!$W$2:$W$45+$B$17)*$B$107)*((Projects!$B$2:$B$45&gt;=$B$12)*$B$6+(Projects!$B$2:$B$45&lt;$B$12)*(Projects!$B$2:$B$45&gt;=$B$13)*$B$7+(Projects!$B$2:$B$45&lt;$B$13)*$B$8))</f>
        <v>1.9975</v>
      </c>
      <c r="K39" s="384" t="n">
        <f aca="false">SUMPRODUCT((Projects!$G$2:$G$45="Yes")*(7&gt;=Projects!$C$2:$C$45-$B$15)*((7&lt;=Projects!$W$2:$W$45-$B$106)*1+(7&gt;Projects!$W$2:$W$45-$B$106)*(7&lt;=Projects!$W$2:$W$45+$B$17)*$B$107)*((Projects!$B$2:$B$45&gt;=$B$12)*$B$6+(Projects!$B$2:$B$45&lt;$B$12)*(Projects!$B$2:$B$45&gt;=$B$13)*$B$7+(Projects!$B$2:$B$45&lt;$B$13)*$B$8))</f>
        <v>1.9975</v>
      </c>
      <c r="L39" s="384" t="n">
        <f aca="false">SUMPRODUCT((Projects!$G$2:$G$45="Yes")*(8&gt;=Projects!$C$2:$C$45-$B$15)*((8&lt;=Projects!$W$2:$W$45-$B$106)*1+(8&gt;Projects!$W$2:$W$45-$B$106)*(8&lt;=Projects!$W$2:$W$45+$B$17)*$B$107)*((Projects!$B$2:$B$45&gt;=$B$12)*$B$6+(Projects!$B$2:$B$45&lt;$B$12)*(Projects!$B$2:$B$45&gt;=$B$13)*$B$7+(Projects!$B$2:$B$45&lt;$B$13)*$B$8))</f>
        <v>1.9975</v>
      </c>
      <c r="M39" s="384" t="n">
        <f aca="false">SUMPRODUCT((Projects!$G$2:$G$45="Yes")*(9&gt;=Projects!$C$2:$C$45-$B$15)*((9&lt;=Projects!$W$2:$W$45-$B$106)*1+(9&gt;Projects!$W$2:$W$45-$B$106)*(9&lt;=Projects!$W$2:$W$45+$B$17)*$B$107)*((Projects!$B$2:$B$45&gt;=$B$12)*$B$6+(Projects!$B$2:$B$45&lt;$B$12)*(Projects!$B$2:$B$45&gt;=$B$13)*$B$7+(Projects!$B$2:$B$45&lt;$B$13)*$B$8))</f>
        <v>2.2475</v>
      </c>
      <c r="N39" s="384" t="n">
        <f aca="false">SUMPRODUCT((Projects!$G$2:$G$45="Yes")*(10&gt;=Projects!$C$2:$C$45-$B$15)*((10&lt;=Projects!$W$2:$W$45-$B$106)*1+(10&gt;Projects!$W$2:$W$45-$B$106)*(10&lt;=Projects!$W$2:$W$45+$B$17)*$B$107)*((Projects!$B$2:$B$45&gt;=$B$12)*$B$6+(Projects!$B$2:$B$45&lt;$B$12)*(Projects!$B$2:$B$45&gt;=$B$13)*$B$7+(Projects!$B$2:$B$45&lt;$B$13)*$B$8))</f>
        <v>2.58</v>
      </c>
      <c r="O39" s="384" t="n">
        <f aca="false">SUMPRODUCT((Projects!$G$2:$G$45="Yes")*(11&gt;=Projects!$C$2:$C$45-$B$15)*((11&lt;=Projects!$W$2:$W$45-$B$106)*1+(11&gt;Projects!$W$2:$W$45-$B$106)*(11&lt;=Projects!$W$2:$W$45+$B$17)*$B$107)*((Projects!$B$2:$B$45&gt;=$B$12)*$B$6+(Projects!$B$2:$B$45&lt;$B$12)*(Projects!$B$2:$B$45&gt;=$B$13)*$B$7+(Projects!$B$2:$B$45&lt;$B$13)*$B$8))</f>
        <v>2.745</v>
      </c>
      <c r="P39" s="384" t="n">
        <f aca="false">SUMPRODUCT((Projects!$G$2:$G$45="Yes")*(12&gt;=Projects!$C$2:$C$45-$B$15)*((12&lt;=Projects!$W$2:$W$45-$B$106)*1+(12&gt;Projects!$W$2:$W$45-$B$106)*(12&lt;=Projects!$W$2:$W$45+$B$17)*$B$107)*((Projects!$B$2:$B$45&gt;=$B$12)*$B$6+(Projects!$B$2:$B$45&lt;$B$12)*(Projects!$B$2:$B$45&gt;=$B$13)*$B$7+(Projects!$B$2:$B$45&lt;$B$13)*$B$8))</f>
        <v>2.745</v>
      </c>
      <c r="Q39" s="384" t="n">
        <f aca="false">SUMPRODUCT((Projects!$G$2:$G$45="Yes")*(13&gt;=Projects!$C$2:$C$45-$B$15)*((13&lt;=Projects!$W$2:$W$45-$B$106)*1+(13&gt;Projects!$W$2:$W$45-$B$106)*(13&lt;=Projects!$W$2:$W$45+$B$17)*$B$107)*((Projects!$B$2:$B$45&gt;=$B$12)*$B$6+(Projects!$B$2:$B$45&lt;$B$12)*(Projects!$B$2:$B$45&gt;=$B$13)*$B$7+(Projects!$B$2:$B$45&lt;$B$13)*$B$8))</f>
        <v>2.6625</v>
      </c>
      <c r="R39" s="384" t="n">
        <f aca="false">SUMPRODUCT((Projects!$G$2:$G$45="Yes")*(14&gt;=Projects!$C$2:$C$45-$B$15)*((14&lt;=Projects!$W$2:$W$45-$B$106)*1+(14&gt;Projects!$W$2:$W$45-$B$106)*(14&lt;=Projects!$W$2:$W$45+$B$17)*$B$107)*((Projects!$B$2:$B$45&gt;=$B$12)*$B$6+(Projects!$B$2:$B$45&lt;$B$12)*(Projects!$B$2:$B$45&gt;=$B$13)*$B$7+(Projects!$B$2:$B$45&lt;$B$13)*$B$8))</f>
        <v>2.6625</v>
      </c>
      <c r="S39" s="384" t="n">
        <f aca="false">SUMPRODUCT((Projects!$G$2:$G$45="Yes")*(15&gt;=Projects!$C$2:$C$45-$B$15)*((15&lt;=Projects!$W$2:$W$45-$B$106)*1+(15&gt;Projects!$W$2:$W$45-$B$106)*(15&lt;=Projects!$W$2:$W$45+$B$17)*$B$107)*((Projects!$B$2:$B$45&gt;=$B$12)*$B$6+(Projects!$B$2:$B$45&lt;$B$12)*(Projects!$B$2:$B$45&gt;=$B$13)*$B$7+(Projects!$B$2:$B$45&lt;$B$13)*$B$8))</f>
        <v>2.5375</v>
      </c>
      <c r="T39" s="384" t="n">
        <f aca="false">SUMPRODUCT((Projects!$G$2:$G$45="Yes")*(16&gt;=Projects!$C$2:$C$45-$B$15)*((16&lt;=Projects!$W$2:$W$45-$B$106)*1+(16&gt;Projects!$W$2:$W$45-$B$106)*(16&lt;=Projects!$W$2:$W$45+$B$17)*$B$107)*((Projects!$B$2:$B$45&gt;=$B$12)*$B$6+(Projects!$B$2:$B$45&lt;$B$12)*(Projects!$B$2:$B$45&gt;=$B$13)*$B$7+(Projects!$B$2:$B$45&lt;$B$13)*$B$8))</f>
        <v>2.4125</v>
      </c>
      <c r="U39" s="384" t="n">
        <f aca="false">SUMPRODUCT((Projects!$G$2:$G$45="Yes")*(17&gt;=Projects!$C$2:$C$45-$B$15)*((17&lt;=Projects!$W$2:$W$45-$B$106)*1+(17&gt;Projects!$W$2:$W$45-$B$106)*(17&lt;=Projects!$W$2:$W$45+$B$17)*$B$107)*((Projects!$B$2:$B$45&gt;=$B$12)*$B$6+(Projects!$B$2:$B$45&lt;$B$12)*(Projects!$B$2:$B$45&gt;=$B$13)*$B$7+(Projects!$B$2:$B$45&lt;$B$13)*$B$8))</f>
        <v>2.205</v>
      </c>
      <c r="V39" s="384" t="n">
        <f aca="false">SUMPRODUCT((Projects!$G$2:$G$45="Yes")*(18&gt;=Projects!$C$2:$C$45-$B$15)*((18&lt;=Projects!$W$2:$W$45-$B$106)*1+(18&gt;Projects!$W$2:$W$45-$B$106)*(18&lt;=Projects!$W$2:$W$45+$B$17)*$B$107)*((Projects!$B$2:$B$45&gt;=$B$12)*$B$6+(Projects!$B$2:$B$45&lt;$B$12)*(Projects!$B$2:$B$45&gt;=$B$13)*$B$7+(Projects!$B$2:$B$45&lt;$B$13)*$B$8))</f>
        <v>2.205</v>
      </c>
      <c r="W39" s="384" t="n">
        <f aca="false">SUMPRODUCT((Projects!$G$2:$G$45="Yes")*(19&gt;=Projects!$C$2:$C$45-$B$15)*((19&lt;=Projects!$W$2:$W$45-$B$106)*1+(19&gt;Projects!$W$2:$W$45-$B$106)*(19&lt;=Projects!$W$2:$W$45+$B$17)*$B$107)*((Projects!$B$2:$B$45&gt;=$B$12)*$B$6+(Projects!$B$2:$B$45&lt;$B$12)*(Projects!$B$2:$B$45&gt;=$B$13)*$B$7+(Projects!$B$2:$B$45&lt;$B$13)*$B$8))</f>
        <v>2.08</v>
      </c>
      <c r="X39" s="384" t="n">
        <f aca="false">SUMPRODUCT((Projects!$G$2:$G$45="Yes")*(20&gt;=Projects!$C$2:$C$45-$B$15)*((20&lt;=Projects!$W$2:$W$45-$B$106)*1+(20&gt;Projects!$W$2:$W$45-$B$106)*(20&lt;=Projects!$W$2:$W$45+$B$17)*$B$107)*((Projects!$B$2:$B$45&gt;=$B$12)*$B$6+(Projects!$B$2:$B$45&lt;$B$12)*(Projects!$B$2:$B$45&gt;=$B$13)*$B$7+(Projects!$B$2:$B$45&lt;$B$13)*$B$8))</f>
        <v>1.955</v>
      </c>
      <c r="Y39" s="384" t="n">
        <f aca="false">SUMPRODUCT((Projects!$G$2:$G$45="Yes")*(21&gt;=Projects!$C$2:$C$45-$B$15)*((21&lt;=Projects!$W$2:$W$45-$B$106)*1+(21&gt;Projects!$W$2:$W$45-$B$106)*(21&lt;=Projects!$W$2:$W$45+$B$17)*$B$107)*((Projects!$B$2:$B$45&gt;=$B$12)*$B$6+(Projects!$B$2:$B$45&lt;$B$12)*(Projects!$B$2:$B$45&gt;=$B$13)*$B$7+(Projects!$B$2:$B$45&lt;$B$13)*$B$8))</f>
        <v>1.705</v>
      </c>
      <c r="Z39" s="384" t="n">
        <f aca="false">SUMPRODUCT((Projects!$G$2:$G$45="Yes")*(22&gt;=Projects!$C$2:$C$45-$B$15)*((22&lt;=Projects!$W$2:$W$45-$B$106)*1+(22&gt;Projects!$W$2:$W$45-$B$106)*(22&lt;=Projects!$W$2:$W$45+$B$17)*$B$107)*((Projects!$B$2:$B$45&gt;=$B$12)*$B$6+(Projects!$B$2:$B$45&lt;$B$12)*(Projects!$B$2:$B$45&gt;=$B$13)*$B$7+(Projects!$B$2:$B$45&lt;$B$13)*$B$8))</f>
        <v>1.58</v>
      </c>
      <c r="AA39" s="384" t="n">
        <f aca="false">SUMPRODUCT((Projects!$G$2:$G$45="Yes")*(23&gt;=Projects!$C$2:$C$45-$B$15)*((23&lt;=Projects!$W$2:$W$45-$B$106)*1+(23&gt;Projects!$W$2:$W$45-$B$106)*(23&lt;=Projects!$W$2:$W$45+$B$17)*$B$107)*((Projects!$B$2:$B$45&gt;=$B$12)*$B$6+(Projects!$B$2:$B$45&lt;$B$12)*(Projects!$B$2:$B$45&gt;=$B$13)*$B$7+(Projects!$B$2:$B$45&lt;$B$13)*$B$8))</f>
        <v>1.58</v>
      </c>
      <c r="AB39" s="384" t="n">
        <f aca="false">SUMPRODUCT((Projects!$G$2:$G$45="Yes")*(24&gt;=Projects!$C$2:$C$45-$B$15)*((24&lt;=Projects!$W$2:$W$45-$B$106)*1+(24&gt;Projects!$W$2:$W$45-$B$106)*(24&lt;=Projects!$W$2:$W$45+$B$17)*$B$107)*((Projects!$B$2:$B$45&gt;=$B$12)*$B$6+(Projects!$B$2:$B$45&lt;$B$12)*(Projects!$B$2:$B$45&gt;=$B$13)*$B$7+(Projects!$B$2:$B$45&lt;$B$13)*$B$8))</f>
        <v>1.58</v>
      </c>
      <c r="AC39" s="384" t="n">
        <f aca="false">SUMPRODUCT((Projects!$G$2:$G$45="Yes")*(25&gt;=Projects!$C$2:$C$45-$B$15)*((25&lt;=Projects!$W$2:$W$45-$B$106)*1+(25&gt;Projects!$W$2:$W$45-$B$106)*(25&lt;=Projects!$W$2:$W$45+$B$17)*$B$107)*((Projects!$B$2:$B$45&gt;=$B$12)*$B$6+(Projects!$B$2:$B$45&lt;$B$12)*(Projects!$B$2:$B$45&gt;=$B$13)*$B$7+(Projects!$B$2:$B$45&lt;$B$13)*$B$8))</f>
        <v>1.455</v>
      </c>
      <c r="AD39" s="384" t="n">
        <f aca="false">SUMPRODUCT((Projects!$G$2:$G$45="Yes")*(26&gt;=Projects!$C$2:$C$45-$B$15)*((26&lt;=Projects!$W$2:$W$45-$B$106)*1+(26&gt;Projects!$W$2:$W$45-$B$106)*(26&lt;=Projects!$W$2:$W$45+$B$17)*$B$107)*((Projects!$B$2:$B$45&gt;=$B$12)*$B$6+(Projects!$B$2:$B$45&lt;$B$12)*(Projects!$B$2:$B$45&gt;=$B$13)*$B$7+(Projects!$B$2:$B$45&lt;$B$13)*$B$8))</f>
        <v>1.1225</v>
      </c>
      <c r="AE39" s="384" t="n">
        <f aca="false">SUMPRODUCT((Projects!$G$2:$G$45="Yes")*(27&gt;=Projects!$C$2:$C$45-$B$15)*((27&lt;=Projects!$W$2:$W$45-$B$106)*1+(27&gt;Projects!$W$2:$W$45-$B$106)*(27&lt;=Projects!$W$2:$W$45+$B$17)*$B$107)*((Projects!$B$2:$B$45&gt;=$B$12)*$B$6+(Projects!$B$2:$B$45&lt;$B$12)*(Projects!$B$2:$B$45&gt;=$B$13)*$B$7+(Projects!$B$2:$B$45&lt;$B$13)*$B$8))</f>
        <v>1.04</v>
      </c>
      <c r="AF39" s="384" t="n">
        <f aca="false">SUMPRODUCT((Projects!$G$2:$G$45="Yes")*(28&gt;=Projects!$C$2:$C$45-$B$15)*((28&lt;=Projects!$W$2:$W$45-$B$106)*1+(28&gt;Projects!$W$2:$W$45-$B$106)*(28&lt;=Projects!$W$2:$W$45+$B$17)*$B$107)*((Projects!$B$2:$B$45&gt;=$B$12)*$B$6+(Projects!$B$2:$B$45&lt;$B$12)*(Projects!$B$2:$B$45&gt;=$B$13)*$B$7+(Projects!$B$2:$B$45&lt;$B$13)*$B$8))</f>
        <v>1.04</v>
      </c>
      <c r="AG39" s="384" t="n">
        <f aca="false">SUMPRODUCT((Projects!$G$2:$G$45="Yes")*(29&gt;=Projects!$C$2:$C$45-$B$15)*((29&lt;=Projects!$W$2:$W$45-$B$106)*1+(29&gt;Projects!$W$2:$W$45-$B$106)*(29&lt;=Projects!$W$2:$W$45+$B$17)*$B$107)*((Projects!$B$2:$B$45&gt;=$B$12)*$B$6+(Projects!$B$2:$B$45&lt;$B$12)*(Projects!$B$2:$B$45&gt;=$B$13)*$B$7+(Projects!$B$2:$B$45&lt;$B$13)*$B$8))</f>
        <v>1.04</v>
      </c>
      <c r="AH39" s="384" t="n">
        <f aca="false">SUMPRODUCT((Projects!$G$2:$G$45="Yes")*(30&gt;=Projects!$C$2:$C$45-$B$15)*((30&lt;=Projects!$W$2:$W$45-$B$106)*1+(30&gt;Projects!$W$2:$W$45-$B$106)*(30&lt;=Projects!$W$2:$W$45+$B$17)*$B$107)*((Projects!$B$2:$B$45&gt;=$B$12)*$B$6+(Projects!$B$2:$B$45&lt;$B$12)*(Projects!$B$2:$B$45&gt;=$B$13)*$B$7+(Projects!$B$2:$B$45&lt;$B$13)*$B$8))</f>
        <v>0.7075</v>
      </c>
      <c r="AI39" s="384" t="n">
        <f aca="false">SUMPRODUCT((Projects!$G$2:$G$45="Yes")*(31&gt;=Projects!$C$2:$C$45-$B$15)*((31&lt;=Projects!$W$2:$W$45-$B$106)*1+(31&gt;Projects!$W$2:$W$45-$B$106)*(31&lt;=Projects!$W$2:$W$45+$B$17)*$B$107)*((Projects!$B$2:$B$45&gt;=$B$12)*$B$6+(Projects!$B$2:$B$45&lt;$B$12)*(Projects!$B$2:$B$45&gt;=$B$13)*$B$7+(Projects!$B$2:$B$45&lt;$B$13)*$B$8))</f>
        <v>0.625</v>
      </c>
      <c r="AJ39" s="384" t="n">
        <f aca="false">SUMPRODUCT((Projects!$G$2:$G$45="Yes")*(32&gt;=Projects!$C$2:$C$45-$B$15)*((32&lt;=Projects!$W$2:$W$45-$B$106)*1+(32&gt;Projects!$W$2:$W$45-$B$106)*(32&lt;=Projects!$W$2:$W$45+$B$17)*$B$107)*((Projects!$B$2:$B$45&gt;=$B$12)*$B$6+(Projects!$B$2:$B$45&lt;$B$12)*(Projects!$B$2:$B$45&gt;=$B$13)*$B$7+(Projects!$B$2:$B$45&lt;$B$13)*$B$8))</f>
        <v>0.625</v>
      </c>
      <c r="AK39" s="384" t="n">
        <f aca="false">SUMPRODUCT((Projects!$G$2:$G$45="Yes")*(33&gt;=Projects!$C$2:$C$45-$B$15)*((33&lt;=Projects!$W$2:$W$45-$B$106)*1+(33&gt;Projects!$W$2:$W$45-$B$106)*(33&lt;=Projects!$W$2:$W$45+$B$17)*$B$107)*((Projects!$B$2:$B$45&gt;=$B$12)*$B$6+(Projects!$B$2:$B$45&lt;$B$12)*(Projects!$B$2:$B$45&gt;=$B$13)*$B$7+(Projects!$B$2:$B$45&lt;$B$13)*$B$8))</f>
        <v>0.625</v>
      </c>
      <c r="AL39" s="384" t="n">
        <f aca="false">SUMPRODUCT((Projects!$G$2:$G$45="Yes")*(34&gt;=Projects!$C$2:$C$45-$B$15)*((34&lt;=Projects!$W$2:$W$45-$B$106)*1+(34&gt;Projects!$W$2:$W$45-$B$106)*(34&lt;=Projects!$W$2:$W$45+$B$17)*$B$107)*((Projects!$B$2:$B$45&gt;=$B$12)*$B$6+(Projects!$B$2:$B$45&lt;$B$12)*(Projects!$B$2:$B$45&gt;=$B$13)*$B$7+(Projects!$B$2:$B$45&lt;$B$13)*$B$8))</f>
        <v>0.25</v>
      </c>
      <c r="AM39" s="384" t="n">
        <f aca="false">SUMPRODUCT((Projects!$G$2:$G$45="Yes")*(35&gt;=Projects!$C$2:$C$45-$B$15)*((35&lt;=Projects!$W$2:$W$45-$B$106)*1+(35&gt;Projects!$W$2:$W$45-$B$106)*(35&lt;=Projects!$W$2:$W$45+$B$17)*$B$107)*((Projects!$B$2:$B$45&gt;=$B$12)*$B$6+(Projects!$B$2:$B$45&lt;$B$12)*(Projects!$B$2:$B$45&gt;=$B$13)*$B$7+(Projects!$B$2:$B$45&lt;$B$13)*$B$8))</f>
        <v>0.25</v>
      </c>
      <c r="AN39" s="384" t="n">
        <f aca="false">SUMPRODUCT((Projects!$G$2:$G$45="Yes")*(36&gt;=Projects!$C$2:$C$45-$B$15)*((36&lt;=Projects!$W$2:$W$45-$B$106)*1+(36&gt;Projects!$W$2:$W$45-$B$106)*(36&lt;=Projects!$W$2:$W$45+$B$17)*$B$107)*((Projects!$B$2:$B$45&gt;=$B$12)*$B$6+(Projects!$B$2:$B$45&lt;$B$12)*(Projects!$B$2:$B$45&gt;=$B$13)*$B$7+(Projects!$B$2:$B$45&lt;$B$13)*$B$8))</f>
        <v>0.25</v>
      </c>
      <c r="AO39" s="384" t="n">
        <f aca="false">SUMPRODUCT((Projects!$G$2:$G$45="Yes")*(37&gt;=Projects!$C$2:$C$45-$B$15)*((37&lt;=Projects!$W$2:$W$45-$B$106)*1+(37&gt;Projects!$W$2:$W$45-$B$106)*(37&lt;=Projects!$W$2:$W$45+$B$17)*$B$107)*((Projects!$B$2:$B$45&gt;=$B$12)*$B$6+(Projects!$B$2:$B$45&lt;$B$12)*(Projects!$B$2:$B$45&gt;=$B$13)*$B$7+(Projects!$B$2:$B$45&lt;$B$13)*$B$8))</f>
        <v>0.25</v>
      </c>
      <c r="AP39" s="384" t="n">
        <f aca="false">SUMPRODUCT((Projects!$G$2:$G$45="Yes")*(38&gt;=Projects!$C$2:$C$45-$B$15)*((38&lt;=Projects!$W$2:$W$45-$B$106)*1+(38&gt;Projects!$W$2:$W$45-$B$106)*(38&lt;=Projects!$W$2:$W$45+$B$17)*$B$107)*((Projects!$B$2:$B$45&gt;=$B$12)*$B$6+(Projects!$B$2:$B$45&lt;$B$12)*(Projects!$B$2:$B$45&gt;=$B$13)*$B$7+(Projects!$B$2:$B$45&lt;$B$13)*$B$8))</f>
        <v>0</v>
      </c>
      <c r="AQ39" s="384" t="n">
        <f aca="false">SUMPRODUCT((Projects!$G$2:$G$45="Yes")*(39&gt;=Projects!$C$2:$C$45-$B$15)*((39&lt;=Projects!$W$2:$W$45-$B$106)*1+(39&gt;Projects!$W$2:$W$45-$B$106)*(39&lt;=Projects!$W$2:$W$45+$B$17)*$B$107)*((Projects!$B$2:$B$45&gt;=$B$12)*$B$6+(Projects!$B$2:$B$45&lt;$B$12)*(Projects!$B$2:$B$45&gt;=$B$13)*$B$7+(Projects!$B$2:$B$45&lt;$B$13)*$B$8))</f>
        <v>0</v>
      </c>
      <c r="AR39" s="384" t="n">
        <f aca="false">SUMPRODUCT((Projects!$G$2:$G$45="Yes")*(40&gt;=Projects!$C$2:$C$45-$B$15)*((40&lt;=Projects!$W$2:$W$45-$B$106)*1+(40&gt;Projects!$W$2:$W$45-$B$106)*(40&lt;=Projects!$W$2:$W$45+$B$17)*$B$107)*((Projects!$B$2:$B$45&gt;=$B$12)*$B$6+(Projects!$B$2:$B$45&lt;$B$12)*(Projects!$B$2:$B$45&gt;=$B$13)*$B$7+(Projects!$B$2:$B$45&lt;$B$13)*$B$8))</f>
        <v>0</v>
      </c>
      <c r="AS39" s="384" t="n">
        <f aca="false">SUMPRODUCT((Projects!$G$2:$G$45="Yes")*(41&gt;=Projects!$C$2:$C$45-$B$15)*((41&lt;=Projects!$W$2:$W$45-$B$106)*1+(41&gt;Projects!$W$2:$W$45-$B$106)*(41&lt;=Projects!$W$2:$W$45+$B$17)*$B$107)*((Projects!$B$2:$B$45&gt;=$B$12)*$B$6+(Projects!$B$2:$B$45&lt;$B$12)*(Projects!$B$2:$B$45&gt;=$B$13)*$B$7+(Projects!$B$2:$B$45&lt;$B$13)*$B$8))</f>
        <v>0</v>
      </c>
      <c r="AT39" s="384" t="n">
        <f aca="false">SUMPRODUCT((Projects!$G$2:$G$45="Yes")*(42&gt;=Projects!$C$2:$C$45-$B$15)*((42&lt;=Projects!$W$2:$W$45-$B$106)*1+(42&gt;Projects!$W$2:$W$45-$B$106)*(42&lt;=Projects!$W$2:$W$45+$B$17)*$B$107)*((Projects!$B$2:$B$45&gt;=$B$12)*$B$6+(Projects!$B$2:$B$45&lt;$B$12)*(Projects!$B$2:$B$45&gt;=$B$13)*$B$7+(Projects!$B$2:$B$45&lt;$B$13)*$B$8))</f>
        <v>0</v>
      </c>
      <c r="AU39" s="384" t="n">
        <f aca="false">SUMPRODUCT((Projects!$G$2:$G$45="Yes")*(43&gt;=Projects!$C$2:$C$45-$B$15)*((43&lt;=Projects!$W$2:$W$45-$B$106)*1+(43&gt;Projects!$W$2:$W$45-$B$106)*(43&lt;=Projects!$W$2:$W$45+$B$17)*$B$107)*((Projects!$B$2:$B$45&gt;=$B$12)*$B$6+(Projects!$B$2:$B$45&lt;$B$12)*(Projects!$B$2:$B$45&gt;=$B$13)*$B$7+(Projects!$B$2:$B$45&lt;$B$13)*$B$8))</f>
        <v>0</v>
      </c>
      <c r="AV39" s="384" t="n">
        <f aca="false">SUMPRODUCT((Projects!$G$2:$G$45="Yes")*(44&gt;=Projects!$C$2:$C$45-$B$15)*((44&lt;=Projects!$W$2:$W$45-$B$106)*1+(44&gt;Projects!$W$2:$W$45-$B$106)*(44&lt;=Projects!$W$2:$W$45+$B$17)*$B$107)*((Projects!$B$2:$B$45&gt;=$B$12)*$B$6+(Projects!$B$2:$B$45&lt;$B$12)*(Projects!$B$2:$B$45&gt;=$B$13)*$B$7+(Projects!$B$2:$B$45&lt;$B$13)*$B$8))</f>
        <v>0</v>
      </c>
      <c r="AW39" s="384" t="n">
        <f aca="false">SUMPRODUCT((Projects!$G$2:$G$45="Yes")*(45&gt;=Projects!$C$2:$C$45-$B$15)*((45&lt;=Projects!$W$2:$W$45-$B$106)*1+(45&gt;Projects!$W$2:$W$45-$B$106)*(45&lt;=Projects!$W$2:$W$45+$B$17)*$B$107)*((Projects!$B$2:$B$45&gt;=$B$12)*$B$6+(Projects!$B$2:$B$45&lt;$B$12)*(Projects!$B$2:$B$45&gt;=$B$13)*$B$7+(Projects!$B$2:$B$45&lt;$B$13)*$B$8))</f>
        <v>0</v>
      </c>
      <c r="AX39" s="384" t="n">
        <f aca="false">SUMPRODUCT((Projects!$G$2:$G$45="Yes")*(46&gt;=Projects!$C$2:$C$45-$B$15)*((46&lt;=Projects!$W$2:$W$45-$B$106)*1+(46&gt;Projects!$W$2:$W$45-$B$106)*(46&lt;=Projects!$W$2:$W$45+$B$17)*$B$107)*((Projects!$B$2:$B$45&gt;=$B$12)*$B$6+(Projects!$B$2:$B$45&lt;$B$12)*(Projects!$B$2:$B$45&gt;=$B$13)*$B$7+(Projects!$B$2:$B$45&lt;$B$13)*$B$8))</f>
        <v>0</v>
      </c>
      <c r="AY39" s="384" t="n">
        <f aca="false">SUMPRODUCT((Projects!$G$2:$G$45="Yes")*(47&gt;=Projects!$C$2:$C$45-$B$15)*((47&lt;=Projects!$W$2:$W$45-$B$106)*1+(47&gt;Projects!$W$2:$W$45-$B$106)*(47&lt;=Projects!$W$2:$W$45+$B$17)*$B$107)*((Projects!$B$2:$B$45&gt;=$B$12)*$B$6+(Projects!$B$2:$B$45&lt;$B$12)*(Projects!$B$2:$B$45&gt;=$B$13)*$B$7+(Projects!$B$2:$B$45&lt;$B$13)*$B$8))</f>
        <v>0</v>
      </c>
      <c r="AZ39" s="384" t="n">
        <f aca="false">SUMPRODUCT((Projects!$G$2:$G$45="Yes")*(48&gt;=Projects!$C$2:$C$45-$B$15)*((48&lt;=Projects!$W$2:$W$45-$B$106)*1+(48&gt;Projects!$W$2:$W$45-$B$106)*(48&lt;=Projects!$W$2:$W$45+$B$17)*$B$107)*((Projects!$B$2:$B$45&gt;=$B$12)*$B$6+(Projects!$B$2:$B$45&lt;$B$12)*(Projects!$B$2:$B$45&gt;=$B$13)*$B$7+(Projects!$B$2:$B$45&lt;$B$13)*$B$8))</f>
        <v>0</v>
      </c>
      <c r="BA39" s="384" t="n">
        <f aca="false">SUMPRODUCT((Projects!$G$2:$G$45="Yes")*(49&gt;=Projects!$C$2:$C$45-$B$15)*((49&lt;=Projects!$W$2:$W$45-$B$106)*1+(49&gt;Projects!$W$2:$W$45-$B$106)*(49&lt;=Projects!$W$2:$W$45+$B$17)*$B$107)*((Projects!$B$2:$B$45&gt;=$B$12)*$B$6+(Projects!$B$2:$B$45&lt;$B$12)*(Projects!$B$2:$B$45&gt;=$B$13)*$B$7+(Projects!$B$2:$B$45&lt;$B$13)*$B$8))</f>
        <v>0</v>
      </c>
      <c r="BB39" s="384" t="n">
        <f aca="false">SUMPRODUCT((Projects!$G$2:$G$45="Yes")*(50&gt;=Projects!$C$2:$C$45-$B$15)*((50&lt;=Projects!$W$2:$W$45-$B$106)*1+(50&gt;Projects!$W$2:$W$45-$B$106)*(50&lt;=Projects!$W$2:$W$45+$B$17)*$B$107)*((Projects!$B$2:$B$45&gt;=$B$12)*$B$6+(Projects!$B$2:$B$45&lt;$B$12)*(Projects!$B$2:$B$45&gt;=$B$13)*$B$7+(Projects!$B$2:$B$45&lt;$B$13)*$B$8))</f>
        <v>0</v>
      </c>
      <c r="BC39" s="384" t="n">
        <f aca="false">SUMPRODUCT((Projects!$G$2:$G$45="Yes")*(51&gt;=Projects!$C$2:$C$45-$B$15)*((51&lt;=Projects!$W$2:$W$45-$B$106)*1+(51&gt;Projects!$W$2:$W$45-$B$106)*(51&lt;=Projects!$W$2:$W$45+$B$17)*$B$107)*((Projects!$B$2:$B$45&gt;=$B$12)*$B$6+(Projects!$B$2:$B$45&lt;$B$12)*(Projects!$B$2:$B$45&gt;=$B$13)*$B$7+(Projects!$B$2:$B$45&lt;$B$13)*$B$8))</f>
        <v>0</v>
      </c>
      <c r="BD39" s="384" t="n">
        <f aca="false">SUMPRODUCT((Projects!$G$2:$G$45="Yes")*(52&gt;=Projects!$C$2:$C$45-$B$15)*((52&lt;=Projects!$W$2:$W$45-$B$106)*1+(52&gt;Projects!$W$2:$W$45-$B$106)*(52&lt;=Projects!$W$2:$W$45+$B$17)*$B$107)*((Projects!$B$2:$B$45&gt;=$B$12)*$B$6+(Projects!$B$2:$B$45&lt;$B$12)*(Projects!$B$2:$B$45&gt;=$B$13)*$B$7+(Projects!$B$2:$B$45&lt;$B$13)*$B$8))</f>
        <v>0</v>
      </c>
      <c r="BE39" s="384" t="n">
        <f aca="false">SUMPRODUCT((Projects!$G$2:$G$45="Yes")*(53&gt;=Projects!$C$2:$C$45-$B$15)*((53&lt;=Projects!$W$2:$W$45-$B$106)*1+(53&gt;Projects!$W$2:$W$45-$B$106)*(53&lt;=Projects!$W$2:$W$45+$B$17)*$B$107)*((Projects!$B$2:$B$45&gt;=$B$12)*$B$6+(Projects!$B$2:$B$45&lt;$B$12)*(Projects!$B$2:$B$45&gt;=$B$13)*$B$7+(Projects!$B$2:$B$45&lt;$B$13)*$B$8))</f>
        <v>0</v>
      </c>
      <c r="BF39" s="384" t="n">
        <f aca="false">SUMPRODUCT((Projects!$G$2:$G$45="Yes")*(54&gt;=Projects!$C$2:$C$45-$B$15)*((54&lt;=Projects!$W$2:$W$45-$B$106)*1+(54&gt;Projects!$W$2:$W$45-$B$106)*(54&lt;=Projects!$W$2:$W$45+$B$17)*$B$107)*((Projects!$B$2:$B$45&gt;=$B$12)*$B$6+(Projects!$B$2:$B$45&lt;$B$12)*(Projects!$B$2:$B$45&gt;=$B$13)*$B$7+(Projects!$B$2:$B$45&lt;$B$13)*$B$8))</f>
        <v>0</v>
      </c>
      <c r="BG39" s="384" t="n">
        <f aca="false">SUMPRODUCT((Projects!$G$2:$G$45="Yes")*(55&gt;=Projects!$C$2:$C$45-$B$15)*((55&lt;=Projects!$W$2:$W$45-$B$106)*1+(55&gt;Projects!$W$2:$W$45-$B$106)*(55&lt;=Projects!$W$2:$W$45+$B$17)*$B$107)*((Projects!$B$2:$B$45&gt;=$B$12)*$B$6+(Projects!$B$2:$B$45&lt;$B$12)*(Projects!$B$2:$B$45&gt;=$B$13)*$B$7+(Projects!$B$2:$B$45&lt;$B$13)*$B$8))</f>
        <v>0</v>
      </c>
      <c r="BH39" s="384" t="n">
        <f aca="false">SUMPRODUCT((Projects!$G$2:$G$45="Yes")*(56&gt;=Projects!$C$2:$C$45-$B$15)*((56&lt;=Projects!$W$2:$W$45-$B$106)*1+(56&gt;Projects!$W$2:$W$45-$B$106)*(56&lt;=Projects!$W$2:$W$45+$B$17)*$B$107)*((Projects!$B$2:$B$45&gt;=$B$12)*$B$6+(Projects!$B$2:$B$45&lt;$B$12)*(Projects!$B$2:$B$45&gt;=$B$13)*$B$7+(Projects!$B$2:$B$45&lt;$B$13)*$B$8))</f>
        <v>0</v>
      </c>
      <c r="BI39" s="384" t="n">
        <f aca="false">SUMPRODUCT((Projects!$G$2:$G$45="Yes")*(57&gt;=Projects!$C$2:$C$45-$B$15)*((57&lt;=Projects!$W$2:$W$45-$B$106)*1+(57&gt;Projects!$W$2:$W$45-$B$106)*(57&lt;=Projects!$W$2:$W$45+$B$17)*$B$107)*((Projects!$B$2:$B$45&gt;=$B$12)*$B$6+(Projects!$B$2:$B$45&lt;$B$12)*(Projects!$B$2:$B$45&gt;=$B$13)*$B$7+(Projects!$B$2:$B$45&lt;$B$13)*$B$8))</f>
        <v>0</v>
      </c>
      <c r="BJ39" s="384" t="n">
        <f aca="false">SUMPRODUCT((Projects!$G$2:$G$45="Yes")*(58&gt;=Projects!$C$2:$C$45-$B$15)*((58&lt;=Projects!$W$2:$W$45-$B$106)*1+(58&gt;Projects!$W$2:$W$45-$B$106)*(58&lt;=Projects!$W$2:$W$45+$B$17)*$B$107)*((Projects!$B$2:$B$45&gt;=$B$12)*$B$6+(Projects!$B$2:$B$45&lt;$B$12)*(Projects!$B$2:$B$45&gt;=$B$13)*$B$7+(Projects!$B$2:$B$45&lt;$B$13)*$B$8))</f>
        <v>0</v>
      </c>
      <c r="BK39" s="384" t="n">
        <f aca="false">SUMPRODUCT((Projects!$G$2:$G$45="Yes")*(59&gt;=Projects!$C$2:$C$45-$B$15)*((59&lt;=Projects!$W$2:$W$45-$B$106)*1+(59&gt;Projects!$W$2:$W$45-$B$106)*(59&lt;=Projects!$W$2:$W$45+$B$17)*$B$107)*((Projects!$B$2:$B$45&gt;=$B$12)*$B$6+(Projects!$B$2:$B$45&lt;$B$12)*(Projects!$B$2:$B$45&gt;=$B$13)*$B$7+(Projects!$B$2:$B$45&lt;$B$13)*$B$8))</f>
        <v>0</v>
      </c>
      <c r="BL39" s="384" t="n">
        <f aca="false">SUMPRODUCT((Projects!$G$2:$G$45="Yes")*(60&gt;=Projects!$C$2:$C$45-$B$15)*((60&lt;=Projects!$W$2:$W$45-$B$106)*1+(60&gt;Projects!$W$2:$W$45-$B$106)*(60&lt;=Projects!$W$2:$W$45+$B$17)*$B$107)*((Projects!$B$2:$B$45&gt;=$B$12)*$B$6+(Projects!$B$2:$B$45&lt;$B$12)*(Projects!$B$2:$B$45&gt;=$B$13)*$B$7+(Projects!$B$2:$B$45&lt;$B$13)*$B$8))</f>
        <v>0</v>
      </c>
      <c r="BM39" s="384" t="n">
        <f aca="false">SUMPRODUCT((Projects!$G$2:$G$45="Yes")*(61&gt;=Projects!$C$2:$C$45-$B$15)*((61&lt;=Projects!$W$2:$W$45-$B$106)*1+(61&gt;Projects!$W$2:$W$45-$B$106)*(61&lt;=Projects!$W$2:$W$45+$B$17)*$B$107)*((Projects!$B$2:$B$45&gt;=$B$12)*$B$6+(Projects!$B$2:$B$45&lt;$B$12)*(Projects!$B$2:$B$45&gt;=$B$13)*$B$7+(Projects!$B$2:$B$45&lt;$B$13)*$B$8))</f>
        <v>0</v>
      </c>
      <c r="BN39" s="384" t="n">
        <f aca="false">SUMPRODUCT((Projects!$G$2:$G$45="Yes")*(62&gt;=Projects!$C$2:$C$45-$B$15)*((62&lt;=Projects!$W$2:$W$45-$B$106)*1+(62&gt;Projects!$W$2:$W$45-$B$106)*(62&lt;=Projects!$W$2:$W$45+$B$17)*$B$107)*((Projects!$B$2:$B$45&gt;=$B$12)*$B$6+(Projects!$B$2:$B$45&lt;$B$12)*(Projects!$B$2:$B$45&gt;=$B$13)*$B$7+(Projects!$B$2:$B$45&lt;$B$13)*$B$8))</f>
        <v>0</v>
      </c>
      <c r="BO39" s="384" t="n">
        <f aca="false">SUMPRODUCT((Projects!$G$2:$G$45="Yes")*(63&gt;=Projects!$C$2:$C$45-$B$15)*((63&lt;=Projects!$W$2:$W$45-$B$106)*1+(63&gt;Projects!$W$2:$W$45-$B$106)*(63&lt;=Projects!$W$2:$W$45+$B$17)*$B$107)*((Projects!$B$2:$B$45&gt;=$B$12)*$B$6+(Projects!$B$2:$B$45&lt;$B$12)*(Projects!$B$2:$B$45&gt;=$B$13)*$B$7+(Projects!$B$2:$B$45&lt;$B$13)*$B$8))</f>
        <v>0</v>
      </c>
      <c r="BP39" s="384" t="n">
        <f aca="false">SUMPRODUCT((Projects!$G$2:$G$45="Yes")*(64&gt;=Projects!$C$2:$C$45-$B$15)*((64&lt;=Projects!$W$2:$W$45-$B$106)*1+(64&gt;Projects!$W$2:$W$45-$B$106)*(64&lt;=Projects!$W$2:$W$45+$B$17)*$B$107)*((Projects!$B$2:$B$45&gt;=$B$12)*$B$6+(Projects!$B$2:$B$45&lt;$B$12)*(Projects!$B$2:$B$45&gt;=$B$13)*$B$7+(Projects!$B$2:$B$45&lt;$B$13)*$B$8))</f>
        <v>0</v>
      </c>
      <c r="BQ39" s="384" t="n">
        <f aca="false">SUMPRODUCT((Projects!$G$2:$G$45="Yes")*(65&gt;=Projects!$C$2:$C$45-$B$15)*((65&lt;=Projects!$W$2:$W$45-$B$106)*1+(65&gt;Projects!$W$2:$W$45-$B$106)*(65&lt;=Projects!$W$2:$W$45+$B$17)*$B$107)*((Projects!$B$2:$B$45&gt;=$B$12)*$B$6+(Projects!$B$2:$B$45&lt;$B$12)*(Projects!$B$2:$B$45&gt;=$B$13)*$B$7+(Projects!$B$2:$B$45&lt;$B$13)*$B$8))</f>
        <v>0</v>
      </c>
      <c r="BR39" s="384" t="n">
        <f aca="false">SUMPRODUCT((Projects!$G$2:$G$45="Yes")*(66&gt;=Projects!$C$2:$C$45-$B$15)*((66&lt;=Projects!$W$2:$W$45-$B$106)*1+(66&gt;Projects!$W$2:$W$45-$B$106)*(66&lt;=Projects!$W$2:$W$45+$B$17)*$B$107)*((Projects!$B$2:$B$45&gt;=$B$12)*$B$6+(Projects!$B$2:$B$45&lt;$B$12)*(Projects!$B$2:$B$45&gt;=$B$13)*$B$7+(Projects!$B$2:$B$45&lt;$B$13)*$B$8))</f>
        <v>0</v>
      </c>
      <c r="BS39" s="384" t="n">
        <f aca="false">SUMPRODUCT((Projects!$G$2:$G$45="Yes")*(67&gt;=Projects!$C$2:$C$45-$B$15)*((67&lt;=Projects!$W$2:$W$45-$B$106)*1+(67&gt;Projects!$W$2:$W$45-$B$106)*(67&lt;=Projects!$W$2:$W$45+$B$17)*$B$107)*((Projects!$B$2:$B$45&gt;=$B$12)*$B$6+(Projects!$B$2:$B$45&lt;$B$12)*(Projects!$B$2:$B$45&gt;=$B$13)*$B$7+(Projects!$B$2:$B$45&lt;$B$13)*$B$8))</f>
        <v>0</v>
      </c>
      <c r="BT39" s="384" t="n">
        <f aca="false">SUMPRODUCT((Projects!$G$2:$G$45="Yes")*(68&gt;=Projects!$C$2:$C$45-$B$15)*((68&lt;=Projects!$W$2:$W$45-$B$106)*1+(68&gt;Projects!$W$2:$W$45-$B$106)*(68&lt;=Projects!$W$2:$W$45+$B$17)*$B$107)*((Projects!$B$2:$B$45&gt;=$B$12)*$B$6+(Projects!$B$2:$B$45&lt;$B$12)*(Projects!$B$2:$B$45&gt;=$B$13)*$B$7+(Projects!$B$2:$B$45&lt;$B$13)*$B$8))</f>
        <v>0</v>
      </c>
      <c r="BU39" s="384" t="n">
        <f aca="false">SUMPRODUCT((Projects!$G$2:$G$45="Yes")*(69&gt;=Projects!$C$2:$C$45-$B$15)*((69&lt;=Projects!$W$2:$W$45-$B$106)*1+(69&gt;Projects!$W$2:$W$45-$B$106)*(69&lt;=Projects!$W$2:$W$45+$B$17)*$B$107)*((Projects!$B$2:$B$45&gt;=$B$12)*$B$6+(Projects!$B$2:$B$45&lt;$B$12)*(Projects!$B$2:$B$45&gt;=$B$13)*$B$7+(Projects!$B$2:$B$45&lt;$B$13)*$B$8))</f>
        <v>0</v>
      </c>
      <c r="BV39" s="384" t="n">
        <f aca="false">SUMPRODUCT((Projects!$G$2:$G$45="Yes")*(70&gt;=Projects!$C$2:$C$45-$B$15)*((70&lt;=Projects!$W$2:$W$45-$B$106)*1+(70&gt;Projects!$W$2:$W$45-$B$106)*(70&lt;=Projects!$W$2:$W$45+$B$17)*$B$107)*((Projects!$B$2:$B$45&gt;=$B$12)*$B$6+(Projects!$B$2:$B$45&lt;$B$12)*(Projects!$B$2:$B$45&gt;=$B$13)*$B$7+(Projects!$B$2:$B$45&lt;$B$13)*$B$8))</f>
        <v>0</v>
      </c>
      <c r="BW39" s="384" t="n">
        <f aca="false">SUMPRODUCT((Projects!$G$2:$G$45="Yes")*(71&gt;=Projects!$C$2:$C$45-$B$15)*((71&lt;=Projects!$W$2:$W$45-$B$106)*1+(71&gt;Projects!$W$2:$W$45-$B$106)*(71&lt;=Projects!$W$2:$W$45+$B$17)*$B$107)*((Projects!$B$2:$B$45&gt;=$B$12)*$B$6+(Projects!$B$2:$B$45&lt;$B$12)*(Projects!$B$2:$B$45&gt;=$B$13)*$B$7+(Projects!$B$2:$B$45&lt;$B$13)*$B$8))</f>
        <v>0</v>
      </c>
      <c r="BX39" s="384" t="n">
        <f aca="false">SUMPRODUCT((Projects!$G$2:$G$45="Yes")*(72&gt;=Projects!$C$2:$C$45-$B$15)*((72&lt;=Projects!$W$2:$W$45-$B$106)*1+(72&gt;Projects!$W$2:$W$45-$B$106)*(72&lt;=Projects!$W$2:$W$45+$B$17)*$B$107)*((Projects!$B$2:$B$45&gt;=$B$12)*$B$6+(Projects!$B$2:$B$45&lt;$B$12)*(Projects!$B$2:$B$45&gt;=$B$13)*$B$7+(Projects!$B$2:$B$45&lt;$B$13)*$B$8))</f>
        <v>0</v>
      </c>
      <c r="BY39" s="384" t="n">
        <f aca="false">SUMPRODUCT((Projects!$G$2:$G$45="Yes")*(73&gt;=Projects!$C$2:$C$45-$B$15)*((73&lt;=Projects!$W$2:$W$45-$B$106)*1+(73&gt;Projects!$W$2:$W$45-$B$106)*(73&lt;=Projects!$W$2:$W$45+$B$17)*$B$107)*((Projects!$B$2:$B$45&gt;=$B$12)*$B$6+(Projects!$B$2:$B$45&lt;$B$12)*(Projects!$B$2:$B$45&gt;=$B$13)*$B$7+(Projects!$B$2:$B$45&lt;$B$13)*$B$8))</f>
        <v>0</v>
      </c>
      <c r="BZ39" s="384" t="n">
        <f aca="false">SUMPRODUCT((Projects!$G$2:$G$45="Yes")*(74&gt;=Projects!$C$2:$C$45-$B$15)*((74&lt;=Projects!$W$2:$W$45-$B$106)*1+(74&gt;Projects!$W$2:$W$45-$B$106)*(74&lt;=Projects!$W$2:$W$45+$B$17)*$B$107)*((Projects!$B$2:$B$45&gt;=$B$12)*$B$6+(Projects!$B$2:$B$45&lt;$B$12)*(Projects!$B$2:$B$45&gt;=$B$13)*$B$7+(Projects!$B$2:$B$45&lt;$B$13)*$B$8))</f>
        <v>0</v>
      </c>
      <c r="CA39" s="384" t="n">
        <f aca="false">SUMPRODUCT((Projects!$G$2:$G$45="Yes")*(75&gt;=Projects!$C$2:$C$45-$B$15)*((75&lt;=Projects!$W$2:$W$45-$B$106)*1+(75&gt;Projects!$W$2:$W$45-$B$106)*(75&lt;=Projects!$W$2:$W$45+$B$17)*$B$107)*((Projects!$B$2:$B$45&gt;=$B$12)*$B$6+(Projects!$B$2:$B$45&lt;$B$12)*(Projects!$B$2:$B$45&gt;=$B$13)*$B$7+(Projects!$B$2:$B$45&lt;$B$13)*$B$8))</f>
        <v>0</v>
      </c>
      <c r="CB39" s="384" t="n">
        <f aca="false">SUMPRODUCT((Projects!$G$2:$G$45="Yes")*(76&gt;=Projects!$C$2:$C$45-$B$15)*((76&lt;=Projects!$W$2:$W$45-$B$106)*1+(76&gt;Projects!$W$2:$W$45-$B$106)*(76&lt;=Projects!$W$2:$W$45+$B$17)*$B$107)*((Projects!$B$2:$B$45&gt;=$B$12)*$B$6+(Projects!$B$2:$B$45&lt;$B$12)*(Projects!$B$2:$B$45&gt;=$B$13)*$B$7+(Projects!$B$2:$B$45&lt;$B$13)*$B$8))</f>
        <v>0</v>
      </c>
      <c r="CC39" s="384" t="n">
        <f aca="false">SUMPRODUCT((Projects!$G$2:$G$45="Yes")*(77&gt;=Projects!$C$2:$C$45-$B$15)*((77&lt;=Projects!$W$2:$W$45-$B$106)*1+(77&gt;Projects!$W$2:$W$45-$B$106)*(77&lt;=Projects!$W$2:$W$45+$B$17)*$B$107)*((Projects!$B$2:$B$45&gt;=$B$12)*$B$6+(Projects!$B$2:$B$45&lt;$B$12)*(Projects!$B$2:$B$45&gt;=$B$13)*$B$7+(Projects!$B$2:$B$45&lt;$B$13)*$B$8))</f>
        <v>0</v>
      </c>
      <c r="CD39" s="384" t="n">
        <f aca="false">SUMPRODUCT((Projects!$G$2:$G$45="Yes")*(78&gt;=Projects!$C$2:$C$45-$B$15)*((78&lt;=Projects!$W$2:$W$45-$B$106)*1+(78&gt;Projects!$W$2:$W$45-$B$106)*(78&lt;=Projects!$W$2:$W$45+$B$17)*$B$107)*((Projects!$B$2:$B$45&gt;=$B$12)*$B$6+(Projects!$B$2:$B$45&lt;$B$12)*(Projects!$B$2:$B$45&gt;=$B$13)*$B$7+(Projects!$B$2:$B$45&lt;$B$13)*$B$8))</f>
        <v>0</v>
      </c>
      <c r="CE39" s="384" t="n">
        <f aca="false">SUMPRODUCT((Projects!$G$2:$G$45="Yes")*(79&gt;=Projects!$C$2:$C$45-$B$15)*((79&lt;=Projects!$W$2:$W$45-$B$106)*1+(79&gt;Projects!$W$2:$W$45-$B$106)*(79&lt;=Projects!$W$2:$W$45+$B$17)*$B$107)*((Projects!$B$2:$B$45&gt;=$B$12)*$B$6+(Projects!$B$2:$B$45&lt;$B$12)*(Projects!$B$2:$B$45&gt;=$B$13)*$B$7+(Projects!$B$2:$B$45&lt;$B$13)*$B$8))</f>
        <v>0</v>
      </c>
      <c r="CF39" s="384" t="n">
        <f aca="false">SUMPRODUCT((Projects!$G$2:$G$45="Yes")*(80&gt;=Projects!$C$2:$C$45-$B$15)*((80&lt;=Projects!$W$2:$W$45-$B$106)*1+(80&gt;Projects!$W$2:$W$45-$B$106)*(80&lt;=Projects!$W$2:$W$45+$B$17)*$B$107)*((Projects!$B$2:$B$45&gt;=$B$12)*$B$6+(Projects!$B$2:$B$45&lt;$B$12)*(Projects!$B$2:$B$45&gt;=$B$13)*$B$7+(Projects!$B$2:$B$45&lt;$B$13)*$B$8))</f>
        <v>0</v>
      </c>
      <c r="CG39" s="384" t="n">
        <f aca="false">SUMPRODUCT((Projects!$G$2:$G$45="Yes")*(81&gt;=Projects!$C$2:$C$45-$B$15)*((81&lt;=Projects!$W$2:$W$45-$B$106)*1+(81&gt;Projects!$W$2:$W$45-$B$106)*(81&lt;=Projects!$W$2:$W$45+$B$17)*$B$107)*((Projects!$B$2:$B$45&gt;=$B$12)*$B$6+(Projects!$B$2:$B$45&lt;$B$12)*(Projects!$B$2:$B$45&gt;=$B$13)*$B$7+(Projects!$B$2:$B$45&lt;$B$13)*$B$8))</f>
        <v>0</v>
      </c>
      <c r="CH39" s="384" t="n">
        <f aca="false">SUMPRODUCT((Projects!$G$2:$G$45="Yes")*(82&gt;=Projects!$C$2:$C$45-$B$15)*((82&lt;=Projects!$W$2:$W$45-$B$106)*1+(82&gt;Projects!$W$2:$W$45-$B$106)*(82&lt;=Projects!$W$2:$W$45+$B$17)*$B$107)*((Projects!$B$2:$B$45&gt;=$B$12)*$B$6+(Projects!$B$2:$B$45&lt;$B$12)*(Projects!$B$2:$B$45&gt;=$B$13)*$B$7+(Projects!$B$2:$B$45&lt;$B$13)*$B$8))</f>
        <v>0</v>
      </c>
      <c r="CI39" s="384" t="n">
        <f aca="false">SUMPRODUCT((Projects!$G$2:$G$45="Yes")*(83&gt;=Projects!$C$2:$C$45-$B$15)*((83&lt;=Projects!$W$2:$W$45-$B$106)*1+(83&gt;Projects!$W$2:$W$45-$B$106)*(83&lt;=Projects!$W$2:$W$45+$B$17)*$B$107)*((Projects!$B$2:$B$45&gt;=$B$12)*$B$6+(Projects!$B$2:$B$45&lt;$B$12)*(Projects!$B$2:$B$45&gt;=$B$13)*$B$7+(Projects!$B$2:$B$45&lt;$B$13)*$B$8))</f>
        <v>0</v>
      </c>
      <c r="CJ39" s="384" t="n">
        <f aca="false">SUMPRODUCT((Projects!$G$2:$G$45="Yes")*(84&gt;=Projects!$C$2:$C$45-$B$15)*((84&lt;=Projects!$W$2:$W$45-$B$106)*1+(84&gt;Projects!$W$2:$W$45-$B$106)*(84&lt;=Projects!$W$2:$W$45+$B$17)*$B$107)*((Projects!$B$2:$B$45&gt;=$B$12)*$B$6+(Projects!$B$2:$B$45&lt;$B$12)*(Projects!$B$2:$B$45&gt;=$B$13)*$B$7+(Projects!$B$2:$B$45&lt;$B$13)*$B$8))</f>
        <v>0</v>
      </c>
      <c r="CK39" s="384" t="n">
        <f aca="false">SUMPRODUCT((Projects!$G$2:$G$45="Yes")*(85&gt;=Projects!$C$2:$C$45-$B$15)*((85&lt;=Projects!$W$2:$W$45-$B$106)*1+(85&gt;Projects!$W$2:$W$45-$B$106)*(85&lt;=Projects!$W$2:$W$45+$B$17)*$B$107)*((Projects!$B$2:$B$45&gt;=$B$12)*$B$6+(Projects!$B$2:$B$45&lt;$B$12)*(Projects!$B$2:$B$45&gt;=$B$13)*$B$7+(Projects!$B$2:$B$45&lt;$B$13)*$B$8))</f>
        <v>0</v>
      </c>
      <c r="CL39" s="384" t="n">
        <f aca="false">SUMPRODUCT((Projects!$G$2:$G$45="Yes")*(86&gt;=Projects!$C$2:$C$45-$B$15)*((86&lt;=Projects!$W$2:$W$45-$B$106)*1+(86&gt;Projects!$W$2:$W$45-$B$106)*(86&lt;=Projects!$W$2:$W$45+$B$17)*$B$107)*((Projects!$B$2:$B$45&gt;=$B$12)*$B$6+(Projects!$B$2:$B$45&lt;$B$12)*(Projects!$B$2:$B$45&gt;=$B$13)*$B$7+(Projects!$B$2:$B$45&lt;$B$13)*$B$8))</f>
        <v>0</v>
      </c>
      <c r="CM39" s="384" t="n">
        <f aca="false">SUMPRODUCT((Projects!$G$2:$G$45="Yes")*(87&gt;=Projects!$C$2:$C$45-$B$15)*((87&lt;=Projects!$W$2:$W$45-$B$106)*1+(87&gt;Projects!$W$2:$W$45-$B$106)*(87&lt;=Projects!$W$2:$W$45+$B$17)*$B$107)*((Projects!$B$2:$B$45&gt;=$B$12)*$B$6+(Projects!$B$2:$B$45&lt;$B$12)*(Projects!$B$2:$B$45&gt;=$B$13)*$B$7+(Projects!$B$2:$B$45&lt;$B$13)*$B$8))</f>
        <v>0</v>
      </c>
      <c r="CN39" s="384" t="n">
        <f aca="false">SUMPRODUCT((Projects!$G$2:$G$45="Yes")*(88&gt;=Projects!$C$2:$C$45-$B$15)*((88&lt;=Projects!$W$2:$W$45-$B$106)*1+(88&gt;Projects!$W$2:$W$45-$B$106)*(88&lt;=Projects!$W$2:$W$45+$B$17)*$B$107)*((Projects!$B$2:$B$45&gt;=$B$12)*$B$6+(Projects!$B$2:$B$45&lt;$B$12)*(Projects!$B$2:$B$45&gt;=$B$13)*$B$7+(Projects!$B$2:$B$45&lt;$B$13)*$B$8))</f>
        <v>0</v>
      </c>
      <c r="CO39" s="384" t="n">
        <f aca="false">SUMPRODUCT((Projects!$G$2:$G$45="Yes")*(89&gt;=Projects!$C$2:$C$45-$B$15)*((89&lt;=Projects!$W$2:$W$45-$B$106)*1+(89&gt;Projects!$W$2:$W$45-$B$106)*(89&lt;=Projects!$W$2:$W$45+$B$17)*$B$107)*((Projects!$B$2:$B$45&gt;=$B$12)*$B$6+(Projects!$B$2:$B$45&lt;$B$12)*(Projects!$B$2:$B$45&gt;=$B$13)*$B$7+(Projects!$B$2:$B$45&lt;$B$13)*$B$8))</f>
        <v>0</v>
      </c>
      <c r="CP39" s="384" t="n">
        <f aca="false">SUMPRODUCT((Projects!$G$2:$G$45="Yes")*(90&gt;=Projects!$C$2:$C$45-$B$15)*((90&lt;=Projects!$W$2:$W$45-$B$106)*1+(90&gt;Projects!$W$2:$W$45-$B$106)*(90&lt;=Projects!$W$2:$W$45+$B$17)*$B$107)*((Projects!$B$2:$B$45&gt;=$B$12)*$B$6+(Projects!$B$2:$B$45&lt;$B$12)*(Projects!$B$2:$B$45&gt;=$B$13)*$B$7+(Projects!$B$2:$B$45&lt;$B$13)*$B$8))</f>
        <v>0</v>
      </c>
      <c r="CQ39" s="384" t="n">
        <f aca="false">SUMPRODUCT((Projects!$G$2:$G$45="Yes")*(91&gt;=Projects!$C$2:$C$45-$B$15)*((91&lt;=Projects!$W$2:$W$45-$B$106)*1+(91&gt;Projects!$W$2:$W$45-$B$106)*(91&lt;=Projects!$W$2:$W$45+$B$17)*$B$107)*((Projects!$B$2:$B$45&gt;=$B$12)*$B$6+(Projects!$B$2:$B$45&lt;$B$12)*(Projects!$B$2:$B$45&gt;=$B$13)*$B$7+(Projects!$B$2:$B$45&lt;$B$13)*$B$8))</f>
        <v>0</v>
      </c>
      <c r="CR39" s="384" t="n">
        <f aca="false">SUMPRODUCT((Projects!$G$2:$G$45="Yes")*(92&gt;=Projects!$C$2:$C$45-$B$15)*((92&lt;=Projects!$W$2:$W$45-$B$106)*1+(92&gt;Projects!$W$2:$W$45-$B$106)*(92&lt;=Projects!$W$2:$W$45+$B$17)*$B$107)*((Projects!$B$2:$B$45&gt;=$B$12)*$B$6+(Projects!$B$2:$B$45&lt;$B$12)*(Projects!$B$2:$B$45&gt;=$B$13)*$B$7+(Projects!$B$2:$B$45&lt;$B$13)*$B$8))</f>
        <v>0</v>
      </c>
      <c r="CS39" s="384" t="n">
        <f aca="false">SUMPRODUCT((Projects!$G$2:$G$45="Yes")*(93&gt;=Projects!$C$2:$C$45-$B$15)*((93&lt;=Projects!$W$2:$W$45-$B$106)*1+(93&gt;Projects!$W$2:$W$45-$B$106)*(93&lt;=Projects!$W$2:$W$45+$B$17)*$B$107)*((Projects!$B$2:$B$45&gt;=$B$12)*$B$6+(Projects!$B$2:$B$45&lt;$B$12)*(Projects!$B$2:$B$45&gt;=$B$13)*$B$7+(Projects!$B$2:$B$45&lt;$B$13)*$B$8))</f>
        <v>0</v>
      </c>
      <c r="CT39" s="384" t="n">
        <f aca="false">SUMPRODUCT((Projects!$G$2:$G$45="Yes")*(94&gt;=Projects!$C$2:$C$45-$B$15)*((94&lt;=Projects!$W$2:$W$45-$B$106)*1+(94&gt;Projects!$W$2:$W$45-$B$106)*(94&lt;=Projects!$W$2:$W$45+$B$17)*$B$107)*((Projects!$B$2:$B$45&gt;=$B$12)*$B$6+(Projects!$B$2:$B$45&lt;$B$12)*(Projects!$B$2:$B$45&gt;=$B$13)*$B$7+(Projects!$B$2:$B$45&lt;$B$13)*$B$8))</f>
        <v>0</v>
      </c>
      <c r="CU39" s="384" t="n">
        <f aca="false">SUMPRODUCT((Projects!$G$2:$G$45="Yes")*(95&gt;=Projects!$C$2:$C$45-$B$15)*((95&lt;=Projects!$W$2:$W$45-$B$106)*1+(95&gt;Projects!$W$2:$W$45-$B$106)*(95&lt;=Projects!$W$2:$W$45+$B$17)*$B$107)*((Projects!$B$2:$B$45&gt;=$B$12)*$B$6+(Projects!$B$2:$B$45&lt;$B$12)*(Projects!$B$2:$B$45&gt;=$B$13)*$B$7+(Projects!$B$2:$B$45&lt;$B$13)*$B$8))</f>
        <v>0</v>
      </c>
      <c r="CV39" s="384" t="n">
        <f aca="false">SUMPRODUCT((Projects!$G$2:$G$45="Yes")*(96&gt;=Projects!$C$2:$C$45-$B$15)*((96&lt;=Projects!$W$2:$W$45-$B$106)*1+(96&gt;Projects!$W$2:$W$45-$B$106)*(96&lt;=Projects!$W$2:$W$45+$B$17)*$B$107)*((Projects!$B$2:$B$45&gt;=$B$12)*$B$6+(Projects!$B$2:$B$45&lt;$B$12)*(Projects!$B$2:$B$45&gt;=$B$13)*$B$7+(Projects!$B$2:$B$45&lt;$B$13)*$B$8))</f>
        <v>0</v>
      </c>
      <c r="CW39" s="384" t="n">
        <f aca="false">SUMPRODUCT((Projects!$G$2:$G$45="Yes")*(97&gt;=Projects!$C$2:$C$45-$B$15)*((97&lt;=Projects!$W$2:$W$45-$B$106)*1+(97&gt;Projects!$W$2:$W$45-$B$106)*(97&lt;=Projects!$W$2:$W$45+$B$17)*$B$107)*((Projects!$B$2:$B$45&gt;=$B$12)*$B$6+(Projects!$B$2:$B$45&lt;$B$12)*(Projects!$B$2:$B$45&gt;=$B$13)*$B$7+(Projects!$B$2:$B$45&lt;$B$13)*$B$8))</f>
        <v>0</v>
      </c>
      <c r="CX39" s="384" t="n">
        <f aca="false">SUMPRODUCT((Projects!$G$2:$G$45="Yes")*(98&gt;=Projects!$C$2:$C$45-$B$15)*((98&lt;=Projects!$W$2:$W$45-$B$106)*1+(98&gt;Projects!$W$2:$W$45-$B$106)*(98&lt;=Projects!$W$2:$W$45+$B$17)*$B$107)*((Projects!$B$2:$B$45&gt;=$B$12)*$B$6+(Projects!$B$2:$B$45&lt;$B$12)*(Projects!$B$2:$B$45&gt;=$B$13)*$B$7+(Projects!$B$2:$B$45&lt;$B$13)*$B$8))</f>
        <v>0</v>
      </c>
      <c r="CY39" s="384" t="n">
        <f aca="false">SUMPRODUCT((Projects!$G$2:$G$45="Yes")*(99&gt;=Projects!$C$2:$C$45-$B$15)*((99&lt;=Projects!$W$2:$W$45-$B$106)*1+(99&gt;Projects!$W$2:$W$45-$B$106)*(99&lt;=Projects!$W$2:$W$45+$B$17)*$B$107)*((Projects!$B$2:$B$45&gt;=$B$12)*$B$6+(Projects!$B$2:$B$45&lt;$B$12)*(Projects!$B$2:$B$45&gt;=$B$13)*$B$7+(Projects!$B$2:$B$45&lt;$B$13)*$B$8))</f>
        <v>0</v>
      </c>
      <c r="CZ39" s="384" t="n">
        <f aca="false">SUMPRODUCT((Projects!$G$2:$G$45="Yes")*(100&gt;=Projects!$C$2:$C$45-$B$15)*((100&lt;=Projects!$W$2:$W$45-$B$106)*1+(100&gt;Projects!$W$2:$W$45-$B$106)*(100&lt;=Projects!$W$2:$W$45+$B$17)*$B$107)*((Projects!$B$2:$B$45&gt;=$B$12)*$B$6+(Projects!$B$2:$B$45&lt;$B$12)*(Projects!$B$2:$B$45&gt;=$B$13)*$B$7+(Projects!$B$2:$B$45&lt;$B$13)*$B$8))</f>
        <v>0</v>
      </c>
      <c r="DA39" s="384" t="n">
        <f aca="false">SUMPRODUCT((Projects!$G$2:$G$45="Yes")*(101&gt;=Projects!$C$2:$C$45-$B$15)*((101&lt;=Projects!$W$2:$W$45-$B$106)*1+(101&gt;Projects!$W$2:$W$45-$B$106)*(101&lt;=Projects!$W$2:$W$45+$B$17)*$B$107)*((Projects!$B$2:$B$45&gt;=$B$12)*$B$6+(Projects!$B$2:$B$45&lt;$B$12)*(Projects!$B$2:$B$45&gt;=$B$13)*$B$7+(Projects!$B$2:$B$45&lt;$B$13)*$B$8))</f>
        <v>0</v>
      </c>
      <c r="DB39" s="384" t="n">
        <f aca="false">SUMPRODUCT((Projects!$G$2:$G$45="Yes")*(102&gt;=Projects!$C$2:$C$45-$B$15)*((102&lt;=Projects!$W$2:$W$45-$B$106)*1+(102&gt;Projects!$W$2:$W$45-$B$106)*(102&lt;=Projects!$W$2:$W$45+$B$17)*$B$107)*((Projects!$B$2:$B$45&gt;=$B$12)*$B$6+(Projects!$B$2:$B$45&lt;$B$12)*(Projects!$B$2:$B$45&gt;=$B$13)*$B$7+(Projects!$B$2:$B$45&lt;$B$13)*$B$8))</f>
        <v>0</v>
      </c>
      <c r="DC39" s="384" t="n">
        <f aca="false">SUMPRODUCT((Projects!$G$2:$G$45="Yes")*(103&gt;=Projects!$C$2:$C$45-$B$15)*((103&lt;=Projects!$W$2:$W$45-$B$106)*1+(103&gt;Projects!$W$2:$W$45-$B$106)*(103&lt;=Projects!$W$2:$W$45+$B$17)*$B$107)*((Projects!$B$2:$B$45&gt;=$B$12)*$B$6+(Projects!$B$2:$B$45&lt;$B$12)*(Projects!$B$2:$B$45&gt;=$B$13)*$B$7+(Projects!$B$2:$B$45&lt;$B$13)*$B$8))</f>
        <v>0</v>
      </c>
      <c r="DD39" s="384" t="n">
        <f aca="false">SUMPRODUCT((Projects!$G$2:$G$45="Yes")*(104&gt;=Projects!$C$2:$C$45-$B$15)*((104&lt;=Projects!$W$2:$W$45-$B$106)*1+(104&gt;Projects!$W$2:$W$45-$B$106)*(104&lt;=Projects!$W$2:$W$45+$B$17)*$B$107)*((Projects!$B$2:$B$45&gt;=$B$12)*$B$6+(Projects!$B$2:$B$45&lt;$B$12)*(Projects!$B$2:$B$45&gt;=$B$13)*$B$7+(Projects!$B$2:$B$45&lt;$B$13)*$B$8))</f>
        <v>0</v>
      </c>
      <c r="DE39" s="384"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1378</v>
      </c>
      <c r="E40" s="384" t="n">
        <f aca="false">SUMPRODUCT((Projects!$G$2:$G$45="Yes")*(1&gt;=Projects!$C$2:$C$45-$B$16)*((1&lt;=Projects!$W$2:$W$45-$B$106)*1+(1&gt;Projects!$W$2:$W$45-$B$106)*(1&lt;=Projects!$W$2:$W$45+$B$17)*$B$107)*((Projects!$B$2:$B$45&gt;=$B$12)*$B$9+(Projects!$B$2:$B$45&lt;$B$12)*(Projects!$B$2:$B$45&gt;=$B$13)*$B$10+(Projects!$B$2:$B$45&lt;$B$13)*$B$11))</f>
        <v>1.6</v>
      </c>
      <c r="F40" s="384" t="n">
        <f aca="false">SUMPRODUCT((Projects!$G$2:$G$45="Yes")*(2&gt;=Projects!$C$2:$C$45-$B$16)*((2&lt;=Projects!$W$2:$W$45-$B$106)*1+(2&gt;Projects!$W$2:$W$45-$B$106)*(2&lt;=Projects!$W$2:$W$45+$B$17)*$B$107)*((Projects!$B$2:$B$45&gt;=$B$12)*$B$9+(Projects!$B$2:$B$45&lt;$B$12)*(Projects!$B$2:$B$45&gt;=$B$13)*$B$10+(Projects!$B$2:$B$45&lt;$B$13)*$B$11))</f>
        <v>1.6</v>
      </c>
      <c r="G40" s="384" t="n">
        <f aca="false">SUMPRODUCT((Projects!$G$2:$G$45="Yes")*(3&gt;=Projects!$C$2:$C$45-$B$16)*((3&lt;=Projects!$W$2:$W$45-$B$106)*1+(3&gt;Projects!$W$2:$W$45-$B$106)*(3&lt;=Projects!$W$2:$W$45+$B$17)*$B$107)*((Projects!$B$2:$B$45&gt;=$B$12)*$B$9+(Projects!$B$2:$B$45&lt;$B$12)*(Projects!$B$2:$B$45&gt;=$B$13)*$B$10+(Projects!$B$2:$B$45&lt;$B$13)*$B$11))</f>
        <v>1.6</v>
      </c>
      <c r="H40" s="384" t="n">
        <f aca="false">SUMPRODUCT((Projects!$G$2:$G$45="Yes")*(4&gt;=Projects!$C$2:$C$45-$B$16)*((4&lt;=Projects!$W$2:$W$45-$B$106)*1+(4&gt;Projects!$W$2:$W$45-$B$106)*(4&lt;=Projects!$W$2:$W$45+$B$17)*$B$107)*((Projects!$B$2:$B$45&gt;=$B$12)*$B$9+(Projects!$B$2:$B$45&lt;$B$12)*(Projects!$B$2:$B$45&gt;=$B$13)*$B$10+(Projects!$B$2:$B$45&lt;$B$13)*$B$11))</f>
        <v>1.6</v>
      </c>
      <c r="I40" s="384" t="n">
        <f aca="false">SUMPRODUCT((Projects!$G$2:$G$45="Yes")*(5&gt;=Projects!$C$2:$C$45-$B$16)*((5&lt;=Projects!$W$2:$W$45-$B$106)*1+(5&gt;Projects!$W$2:$W$45-$B$106)*(5&lt;=Projects!$W$2:$W$45+$B$17)*$B$107)*((Projects!$B$2:$B$45&gt;=$B$12)*$B$9+(Projects!$B$2:$B$45&lt;$B$12)*(Projects!$B$2:$B$45&gt;=$B$13)*$B$10+(Projects!$B$2:$B$45&lt;$B$13)*$B$11))</f>
        <v>2.3</v>
      </c>
      <c r="J40" s="384" t="n">
        <f aca="false">SUMPRODUCT((Projects!$G$2:$G$45="Yes")*(6&gt;=Projects!$C$2:$C$45-$B$16)*((6&lt;=Projects!$W$2:$W$45-$B$106)*1+(6&gt;Projects!$W$2:$W$45-$B$106)*(6&lt;=Projects!$W$2:$W$45+$B$17)*$B$107)*((Projects!$B$2:$B$45&gt;=$B$12)*$B$9+(Projects!$B$2:$B$45&lt;$B$12)*(Projects!$B$2:$B$45&gt;=$B$13)*$B$10+(Projects!$B$2:$B$45&lt;$B$13)*$B$11))</f>
        <v>2.25</v>
      </c>
      <c r="K40" s="384" t="n">
        <f aca="false">SUMPRODUCT((Projects!$G$2:$G$45="Yes")*(7&gt;=Projects!$C$2:$C$45-$B$16)*((7&lt;=Projects!$W$2:$W$45-$B$106)*1+(7&gt;Projects!$W$2:$W$45-$B$106)*(7&lt;=Projects!$W$2:$W$45+$B$17)*$B$107)*((Projects!$B$2:$B$45&gt;=$B$12)*$B$9+(Projects!$B$2:$B$45&lt;$B$12)*(Projects!$B$2:$B$45&gt;=$B$13)*$B$10+(Projects!$B$2:$B$45&lt;$B$13)*$B$11))</f>
        <v>2.25</v>
      </c>
      <c r="L40" s="384" t="n">
        <f aca="false">SUMPRODUCT((Projects!$G$2:$G$45="Yes")*(8&gt;=Projects!$C$2:$C$45-$B$16)*((8&lt;=Projects!$W$2:$W$45-$B$106)*1+(8&gt;Projects!$W$2:$W$45-$B$106)*(8&lt;=Projects!$W$2:$W$45+$B$17)*$B$107)*((Projects!$B$2:$B$45&gt;=$B$12)*$B$9+(Projects!$B$2:$B$45&lt;$B$12)*(Projects!$B$2:$B$45&gt;=$B$13)*$B$10+(Projects!$B$2:$B$45&lt;$B$13)*$B$11))</f>
        <v>2.25</v>
      </c>
      <c r="M40" s="384" t="n">
        <f aca="false">SUMPRODUCT((Projects!$G$2:$G$45="Yes")*(9&gt;=Projects!$C$2:$C$45-$B$16)*((9&lt;=Projects!$W$2:$W$45-$B$106)*1+(9&gt;Projects!$W$2:$W$45-$B$106)*(9&lt;=Projects!$W$2:$W$45+$B$17)*$B$107)*((Projects!$B$2:$B$45&gt;=$B$12)*$B$9+(Projects!$B$2:$B$45&lt;$B$12)*(Projects!$B$2:$B$45&gt;=$B$13)*$B$10+(Projects!$B$2:$B$45&lt;$B$13)*$B$11))</f>
        <v>2.45</v>
      </c>
      <c r="N40" s="384" t="n">
        <f aca="false">SUMPRODUCT((Projects!$G$2:$G$45="Yes")*(10&gt;=Projects!$C$2:$C$45-$B$16)*((10&lt;=Projects!$W$2:$W$45-$B$106)*1+(10&gt;Projects!$W$2:$W$45-$B$106)*(10&lt;=Projects!$W$2:$W$45+$B$17)*$B$107)*((Projects!$B$2:$B$45&gt;=$B$12)*$B$9+(Projects!$B$2:$B$45&lt;$B$12)*(Projects!$B$2:$B$45&gt;=$B$13)*$B$10+(Projects!$B$2:$B$45&lt;$B$13)*$B$11))</f>
        <v>2.9</v>
      </c>
      <c r="O40" s="384" t="n">
        <f aca="false">SUMPRODUCT((Projects!$G$2:$G$45="Yes")*(11&gt;=Projects!$C$2:$C$45-$B$16)*((11&lt;=Projects!$W$2:$W$45-$B$106)*1+(11&gt;Projects!$W$2:$W$45-$B$106)*(11&lt;=Projects!$W$2:$W$45+$B$17)*$B$107)*((Projects!$B$2:$B$45&gt;=$B$12)*$B$9+(Projects!$B$2:$B$45&lt;$B$12)*(Projects!$B$2:$B$45&gt;=$B$13)*$B$10+(Projects!$B$2:$B$45&lt;$B$13)*$B$11))</f>
        <v>3.4</v>
      </c>
      <c r="P40" s="384" t="n">
        <f aca="false">SUMPRODUCT((Projects!$G$2:$G$45="Yes")*(12&gt;=Projects!$C$2:$C$45-$B$16)*((12&lt;=Projects!$W$2:$W$45-$B$106)*1+(12&gt;Projects!$W$2:$W$45-$B$106)*(12&lt;=Projects!$W$2:$W$45+$B$17)*$B$107)*((Projects!$B$2:$B$45&gt;=$B$12)*$B$9+(Projects!$B$2:$B$45&lt;$B$12)*(Projects!$B$2:$B$45&gt;=$B$13)*$B$10+(Projects!$B$2:$B$45&lt;$B$13)*$B$11))</f>
        <v>3.4</v>
      </c>
      <c r="Q40" s="384" t="n">
        <f aca="false">SUMPRODUCT((Projects!$G$2:$G$45="Yes")*(13&gt;=Projects!$C$2:$C$45-$B$16)*((13&lt;=Projects!$W$2:$W$45-$B$106)*1+(13&gt;Projects!$W$2:$W$45-$B$106)*(13&lt;=Projects!$W$2:$W$45+$B$17)*$B$107)*((Projects!$B$2:$B$45&gt;=$B$12)*$B$9+(Projects!$B$2:$B$45&lt;$B$12)*(Projects!$B$2:$B$45&gt;=$B$13)*$B$10+(Projects!$B$2:$B$45&lt;$B$13)*$B$11))</f>
        <v>3.15</v>
      </c>
      <c r="R40" s="384" t="n">
        <f aca="false">SUMPRODUCT((Projects!$G$2:$G$45="Yes")*(14&gt;=Projects!$C$2:$C$45-$B$16)*((14&lt;=Projects!$W$2:$W$45-$B$106)*1+(14&gt;Projects!$W$2:$W$45-$B$106)*(14&lt;=Projects!$W$2:$W$45+$B$17)*$B$107)*((Projects!$B$2:$B$45&gt;=$B$12)*$B$9+(Projects!$B$2:$B$45&lt;$B$12)*(Projects!$B$2:$B$45&gt;=$B$13)*$B$10+(Projects!$B$2:$B$45&lt;$B$13)*$B$11))</f>
        <v>3.15</v>
      </c>
      <c r="S40" s="384" t="n">
        <f aca="false">SUMPRODUCT((Projects!$G$2:$G$45="Yes")*(15&gt;=Projects!$C$2:$C$45-$B$16)*((15&lt;=Projects!$W$2:$W$45-$B$106)*1+(15&gt;Projects!$W$2:$W$45-$B$106)*(15&lt;=Projects!$W$2:$W$45+$B$17)*$B$107)*((Projects!$B$2:$B$45&gt;=$B$12)*$B$9+(Projects!$B$2:$B$45&lt;$B$12)*(Projects!$B$2:$B$45&gt;=$B$13)*$B$10+(Projects!$B$2:$B$45&lt;$B$13)*$B$11))</f>
        <v>3.05</v>
      </c>
      <c r="T40" s="384" t="n">
        <f aca="false">SUMPRODUCT((Projects!$G$2:$G$45="Yes")*(16&gt;=Projects!$C$2:$C$45-$B$16)*((16&lt;=Projects!$W$2:$W$45-$B$106)*1+(16&gt;Projects!$W$2:$W$45-$B$106)*(16&lt;=Projects!$W$2:$W$45+$B$17)*$B$107)*((Projects!$B$2:$B$45&gt;=$B$12)*$B$9+(Projects!$B$2:$B$45&lt;$B$12)*(Projects!$B$2:$B$45&gt;=$B$13)*$B$10+(Projects!$B$2:$B$45&lt;$B$13)*$B$11))</f>
        <v>2.95</v>
      </c>
      <c r="U40" s="384" t="n">
        <f aca="false">SUMPRODUCT((Projects!$G$2:$G$45="Yes")*(17&gt;=Projects!$C$2:$C$45-$B$16)*((17&lt;=Projects!$W$2:$W$45-$B$106)*1+(17&gt;Projects!$W$2:$W$45-$B$106)*(17&lt;=Projects!$W$2:$W$45+$B$17)*$B$107)*((Projects!$B$2:$B$45&gt;=$B$12)*$B$9+(Projects!$B$2:$B$45&lt;$B$12)*(Projects!$B$2:$B$45&gt;=$B$13)*$B$10+(Projects!$B$2:$B$45&lt;$B$13)*$B$11))</f>
        <v>2.6</v>
      </c>
      <c r="V40" s="384" t="n">
        <f aca="false">SUMPRODUCT((Projects!$G$2:$G$45="Yes")*(18&gt;=Projects!$C$2:$C$45-$B$16)*((18&lt;=Projects!$W$2:$W$45-$B$106)*1+(18&gt;Projects!$W$2:$W$45-$B$106)*(18&lt;=Projects!$W$2:$W$45+$B$17)*$B$107)*((Projects!$B$2:$B$45&gt;=$B$12)*$B$9+(Projects!$B$2:$B$45&lt;$B$12)*(Projects!$B$2:$B$45&gt;=$B$13)*$B$10+(Projects!$B$2:$B$45&lt;$B$13)*$B$11))</f>
        <v>2.6</v>
      </c>
      <c r="W40" s="384" t="n">
        <f aca="false">SUMPRODUCT((Projects!$G$2:$G$45="Yes")*(19&gt;=Projects!$C$2:$C$45-$B$16)*((19&lt;=Projects!$W$2:$W$45-$B$106)*1+(19&gt;Projects!$W$2:$W$45-$B$106)*(19&lt;=Projects!$W$2:$W$45+$B$17)*$B$107)*((Projects!$B$2:$B$45&gt;=$B$12)*$B$9+(Projects!$B$2:$B$45&lt;$B$12)*(Projects!$B$2:$B$45&gt;=$B$13)*$B$10+(Projects!$B$2:$B$45&lt;$B$13)*$B$11))</f>
        <v>2.5</v>
      </c>
      <c r="X40" s="384" t="n">
        <f aca="false">SUMPRODUCT((Projects!$G$2:$G$45="Yes")*(20&gt;=Projects!$C$2:$C$45-$B$16)*((20&lt;=Projects!$W$2:$W$45-$B$106)*1+(20&gt;Projects!$W$2:$W$45-$B$106)*(20&lt;=Projects!$W$2:$W$45+$B$17)*$B$107)*((Projects!$B$2:$B$45&gt;=$B$12)*$B$9+(Projects!$B$2:$B$45&lt;$B$12)*(Projects!$B$2:$B$45&gt;=$B$13)*$B$10+(Projects!$B$2:$B$45&lt;$B$13)*$B$11))</f>
        <v>2.4</v>
      </c>
      <c r="Y40" s="384" t="n">
        <f aca="false">SUMPRODUCT((Projects!$G$2:$G$45="Yes")*(21&gt;=Projects!$C$2:$C$45-$B$16)*((21&lt;=Projects!$W$2:$W$45-$B$106)*1+(21&gt;Projects!$W$2:$W$45-$B$106)*(21&lt;=Projects!$W$2:$W$45+$B$17)*$B$107)*((Projects!$B$2:$B$45&gt;=$B$12)*$B$9+(Projects!$B$2:$B$45&lt;$B$12)*(Projects!$B$2:$B$45&gt;=$B$13)*$B$10+(Projects!$B$2:$B$45&lt;$B$13)*$B$11))</f>
        <v>2.2</v>
      </c>
      <c r="Z40" s="384" t="n">
        <f aca="false">SUMPRODUCT((Projects!$G$2:$G$45="Yes")*(22&gt;=Projects!$C$2:$C$45-$B$16)*((22&lt;=Projects!$W$2:$W$45-$B$106)*1+(22&gt;Projects!$W$2:$W$45-$B$106)*(22&lt;=Projects!$W$2:$W$45+$B$17)*$B$107)*((Projects!$B$2:$B$45&gt;=$B$12)*$B$9+(Projects!$B$2:$B$45&lt;$B$12)*(Projects!$B$2:$B$45&gt;=$B$13)*$B$10+(Projects!$B$2:$B$45&lt;$B$13)*$B$11))</f>
        <v>2.1</v>
      </c>
      <c r="AA40" s="384" t="n">
        <f aca="false">SUMPRODUCT((Projects!$G$2:$G$45="Yes")*(23&gt;=Projects!$C$2:$C$45-$B$16)*((23&lt;=Projects!$W$2:$W$45-$B$106)*1+(23&gt;Projects!$W$2:$W$45-$B$106)*(23&lt;=Projects!$W$2:$W$45+$B$17)*$B$107)*((Projects!$B$2:$B$45&gt;=$B$12)*$B$9+(Projects!$B$2:$B$45&lt;$B$12)*(Projects!$B$2:$B$45&gt;=$B$13)*$B$10+(Projects!$B$2:$B$45&lt;$B$13)*$B$11))</f>
        <v>2.1</v>
      </c>
      <c r="AB40" s="384" t="n">
        <f aca="false">SUMPRODUCT((Projects!$G$2:$G$45="Yes")*(24&gt;=Projects!$C$2:$C$45-$B$16)*((24&lt;=Projects!$W$2:$W$45-$B$106)*1+(24&gt;Projects!$W$2:$W$45-$B$106)*(24&lt;=Projects!$W$2:$W$45+$B$17)*$B$107)*((Projects!$B$2:$B$45&gt;=$B$12)*$B$9+(Projects!$B$2:$B$45&lt;$B$12)*(Projects!$B$2:$B$45&gt;=$B$13)*$B$10+(Projects!$B$2:$B$45&lt;$B$13)*$B$11))</f>
        <v>2.1</v>
      </c>
      <c r="AC40" s="384" t="n">
        <f aca="false">SUMPRODUCT((Projects!$G$2:$G$45="Yes")*(25&gt;=Projects!$C$2:$C$45-$B$16)*((25&lt;=Projects!$W$2:$W$45-$B$106)*1+(25&gt;Projects!$W$2:$W$45-$B$106)*(25&lt;=Projects!$W$2:$W$45+$B$17)*$B$107)*((Projects!$B$2:$B$45&gt;=$B$12)*$B$9+(Projects!$B$2:$B$45&lt;$B$12)*(Projects!$B$2:$B$45&gt;=$B$13)*$B$10+(Projects!$B$2:$B$45&lt;$B$13)*$B$11))</f>
        <v>2</v>
      </c>
      <c r="AD40" s="384" t="n">
        <f aca="false">SUMPRODUCT((Projects!$G$2:$G$45="Yes")*(26&gt;=Projects!$C$2:$C$45-$B$16)*((26&lt;=Projects!$W$2:$W$45-$B$106)*1+(26&gt;Projects!$W$2:$W$45-$B$106)*(26&lt;=Projects!$W$2:$W$45+$B$17)*$B$107)*((Projects!$B$2:$B$45&gt;=$B$12)*$B$9+(Projects!$B$2:$B$45&lt;$B$12)*(Projects!$B$2:$B$45&gt;=$B$13)*$B$10+(Projects!$B$2:$B$45&lt;$B$13)*$B$11))</f>
        <v>1.55</v>
      </c>
      <c r="AE40" s="384" t="n">
        <f aca="false">SUMPRODUCT((Projects!$G$2:$G$45="Yes")*(27&gt;=Projects!$C$2:$C$45-$B$16)*((27&lt;=Projects!$W$2:$W$45-$B$106)*1+(27&gt;Projects!$W$2:$W$45-$B$106)*(27&lt;=Projects!$W$2:$W$45+$B$17)*$B$107)*((Projects!$B$2:$B$45&gt;=$B$12)*$B$9+(Projects!$B$2:$B$45&lt;$B$12)*(Projects!$B$2:$B$45&gt;=$B$13)*$B$10+(Projects!$B$2:$B$45&lt;$B$13)*$B$11))</f>
        <v>1.3</v>
      </c>
      <c r="AF40" s="384" t="n">
        <f aca="false">SUMPRODUCT((Projects!$G$2:$G$45="Yes")*(28&gt;=Projects!$C$2:$C$45-$B$16)*((28&lt;=Projects!$W$2:$W$45-$B$106)*1+(28&gt;Projects!$W$2:$W$45-$B$106)*(28&lt;=Projects!$W$2:$W$45+$B$17)*$B$107)*((Projects!$B$2:$B$45&gt;=$B$12)*$B$9+(Projects!$B$2:$B$45&lt;$B$12)*(Projects!$B$2:$B$45&gt;=$B$13)*$B$10+(Projects!$B$2:$B$45&lt;$B$13)*$B$11))</f>
        <v>1.3</v>
      </c>
      <c r="AG40" s="384" t="n">
        <f aca="false">SUMPRODUCT((Projects!$G$2:$G$45="Yes")*(29&gt;=Projects!$C$2:$C$45-$B$16)*((29&lt;=Projects!$W$2:$W$45-$B$106)*1+(29&gt;Projects!$W$2:$W$45-$B$106)*(29&lt;=Projects!$W$2:$W$45+$B$17)*$B$107)*((Projects!$B$2:$B$45&gt;=$B$12)*$B$9+(Projects!$B$2:$B$45&lt;$B$12)*(Projects!$B$2:$B$45&gt;=$B$13)*$B$10+(Projects!$B$2:$B$45&lt;$B$13)*$B$11))</f>
        <v>1.3</v>
      </c>
      <c r="AH40" s="384" t="n">
        <f aca="false">SUMPRODUCT((Projects!$G$2:$G$45="Yes")*(30&gt;=Projects!$C$2:$C$45-$B$16)*((30&lt;=Projects!$W$2:$W$45-$B$106)*1+(30&gt;Projects!$W$2:$W$45-$B$106)*(30&lt;=Projects!$W$2:$W$45+$B$17)*$B$107)*((Projects!$B$2:$B$45&gt;=$B$12)*$B$9+(Projects!$B$2:$B$45&lt;$B$12)*(Projects!$B$2:$B$45&gt;=$B$13)*$B$10+(Projects!$B$2:$B$45&lt;$B$13)*$B$11))</f>
        <v>0.85</v>
      </c>
      <c r="AI40" s="384" t="n">
        <f aca="false">SUMPRODUCT((Projects!$G$2:$G$45="Yes")*(31&gt;=Projects!$C$2:$C$45-$B$16)*((31&lt;=Projects!$W$2:$W$45-$B$106)*1+(31&gt;Projects!$W$2:$W$45-$B$106)*(31&lt;=Projects!$W$2:$W$45+$B$17)*$B$107)*((Projects!$B$2:$B$45&gt;=$B$12)*$B$9+(Projects!$B$2:$B$45&lt;$B$12)*(Projects!$B$2:$B$45&gt;=$B$13)*$B$10+(Projects!$B$2:$B$45&lt;$B$13)*$B$11))</f>
        <v>0.6</v>
      </c>
      <c r="AJ40" s="384" t="n">
        <f aca="false">SUMPRODUCT((Projects!$G$2:$G$45="Yes")*(32&gt;=Projects!$C$2:$C$45-$B$16)*((32&lt;=Projects!$W$2:$W$45-$B$106)*1+(32&gt;Projects!$W$2:$W$45-$B$106)*(32&lt;=Projects!$W$2:$W$45+$B$17)*$B$107)*((Projects!$B$2:$B$45&gt;=$B$12)*$B$9+(Projects!$B$2:$B$45&lt;$B$12)*(Projects!$B$2:$B$45&gt;=$B$13)*$B$10+(Projects!$B$2:$B$45&lt;$B$13)*$B$11))</f>
        <v>0.6</v>
      </c>
      <c r="AK40" s="384" t="n">
        <f aca="false">SUMPRODUCT((Projects!$G$2:$G$45="Yes")*(33&gt;=Projects!$C$2:$C$45-$B$16)*((33&lt;=Projects!$W$2:$W$45-$B$106)*1+(33&gt;Projects!$W$2:$W$45-$B$106)*(33&lt;=Projects!$W$2:$W$45+$B$17)*$B$107)*((Projects!$B$2:$B$45&gt;=$B$12)*$B$9+(Projects!$B$2:$B$45&lt;$B$12)*(Projects!$B$2:$B$45&gt;=$B$13)*$B$10+(Projects!$B$2:$B$45&lt;$B$13)*$B$11))</f>
        <v>0.6</v>
      </c>
      <c r="AL40" s="384" t="n">
        <f aca="false">SUMPRODUCT((Projects!$G$2:$G$45="Yes")*(34&gt;=Projects!$C$2:$C$45-$B$16)*((34&lt;=Projects!$W$2:$W$45-$B$106)*1+(34&gt;Projects!$W$2:$W$45-$B$106)*(34&lt;=Projects!$W$2:$W$45+$B$17)*$B$107)*((Projects!$B$2:$B$45&gt;=$B$12)*$B$9+(Projects!$B$2:$B$45&lt;$B$12)*(Projects!$B$2:$B$45&gt;=$B$13)*$B$10+(Projects!$B$2:$B$45&lt;$B$13)*$B$11))</f>
        <v>0.25</v>
      </c>
      <c r="AM40" s="384" t="n">
        <f aca="false">SUMPRODUCT((Projects!$G$2:$G$45="Yes")*(35&gt;=Projects!$C$2:$C$45-$B$16)*((35&lt;=Projects!$W$2:$W$45-$B$106)*1+(35&gt;Projects!$W$2:$W$45-$B$106)*(35&lt;=Projects!$W$2:$W$45+$B$17)*$B$107)*((Projects!$B$2:$B$45&gt;=$B$12)*$B$9+(Projects!$B$2:$B$45&lt;$B$12)*(Projects!$B$2:$B$45&gt;=$B$13)*$B$10+(Projects!$B$2:$B$45&lt;$B$13)*$B$11))</f>
        <v>0.25</v>
      </c>
      <c r="AN40" s="384" t="n">
        <f aca="false">SUMPRODUCT((Projects!$G$2:$G$45="Yes")*(36&gt;=Projects!$C$2:$C$45-$B$16)*((36&lt;=Projects!$W$2:$W$45-$B$106)*1+(36&gt;Projects!$W$2:$W$45-$B$106)*(36&lt;=Projects!$W$2:$W$45+$B$17)*$B$107)*((Projects!$B$2:$B$45&gt;=$B$12)*$B$9+(Projects!$B$2:$B$45&lt;$B$12)*(Projects!$B$2:$B$45&gt;=$B$13)*$B$10+(Projects!$B$2:$B$45&lt;$B$13)*$B$11))</f>
        <v>0.25</v>
      </c>
      <c r="AO40" s="384" t="n">
        <f aca="false">SUMPRODUCT((Projects!$G$2:$G$45="Yes")*(37&gt;=Projects!$C$2:$C$45-$B$16)*((37&lt;=Projects!$W$2:$W$45-$B$106)*1+(37&gt;Projects!$W$2:$W$45-$B$106)*(37&lt;=Projects!$W$2:$W$45+$B$17)*$B$107)*((Projects!$B$2:$B$45&gt;=$B$12)*$B$9+(Projects!$B$2:$B$45&lt;$B$12)*(Projects!$B$2:$B$45&gt;=$B$13)*$B$10+(Projects!$B$2:$B$45&lt;$B$13)*$B$11))</f>
        <v>0.25</v>
      </c>
      <c r="AP40" s="384" t="n">
        <f aca="false">SUMPRODUCT((Projects!$G$2:$G$45="Yes")*(38&gt;=Projects!$C$2:$C$45-$B$16)*((38&lt;=Projects!$W$2:$W$45-$B$106)*1+(38&gt;Projects!$W$2:$W$45-$B$106)*(38&lt;=Projects!$W$2:$W$45+$B$17)*$B$107)*((Projects!$B$2:$B$45&gt;=$B$12)*$B$9+(Projects!$B$2:$B$45&lt;$B$12)*(Projects!$B$2:$B$45&gt;=$B$13)*$B$10+(Projects!$B$2:$B$45&lt;$B$13)*$B$11))</f>
        <v>0</v>
      </c>
      <c r="AQ40" s="384" t="n">
        <f aca="false">SUMPRODUCT((Projects!$G$2:$G$45="Yes")*(39&gt;=Projects!$C$2:$C$45-$B$16)*((39&lt;=Projects!$W$2:$W$45-$B$106)*1+(39&gt;Projects!$W$2:$W$45-$B$106)*(39&lt;=Projects!$W$2:$W$45+$B$17)*$B$107)*((Projects!$B$2:$B$45&gt;=$B$12)*$B$9+(Projects!$B$2:$B$45&lt;$B$12)*(Projects!$B$2:$B$45&gt;=$B$13)*$B$10+(Projects!$B$2:$B$45&lt;$B$13)*$B$11))</f>
        <v>0</v>
      </c>
      <c r="AR40" s="384" t="n">
        <f aca="false">SUMPRODUCT((Projects!$G$2:$G$45="Yes")*(40&gt;=Projects!$C$2:$C$45-$B$16)*((40&lt;=Projects!$W$2:$W$45-$B$106)*1+(40&gt;Projects!$W$2:$W$45-$B$106)*(40&lt;=Projects!$W$2:$W$45+$B$17)*$B$107)*((Projects!$B$2:$B$45&gt;=$B$12)*$B$9+(Projects!$B$2:$B$45&lt;$B$12)*(Projects!$B$2:$B$45&gt;=$B$13)*$B$10+(Projects!$B$2:$B$45&lt;$B$13)*$B$11))</f>
        <v>0</v>
      </c>
      <c r="AS40" s="384" t="n">
        <f aca="false">SUMPRODUCT((Projects!$G$2:$G$45="Yes")*(41&gt;=Projects!$C$2:$C$45-$B$16)*((41&lt;=Projects!$W$2:$W$45-$B$106)*1+(41&gt;Projects!$W$2:$W$45-$B$106)*(41&lt;=Projects!$W$2:$W$45+$B$17)*$B$107)*((Projects!$B$2:$B$45&gt;=$B$12)*$B$9+(Projects!$B$2:$B$45&lt;$B$12)*(Projects!$B$2:$B$45&gt;=$B$13)*$B$10+(Projects!$B$2:$B$45&lt;$B$13)*$B$11))</f>
        <v>0</v>
      </c>
      <c r="AT40" s="384" t="n">
        <f aca="false">SUMPRODUCT((Projects!$G$2:$G$45="Yes")*(42&gt;=Projects!$C$2:$C$45-$B$16)*((42&lt;=Projects!$W$2:$W$45-$B$106)*1+(42&gt;Projects!$W$2:$W$45-$B$106)*(42&lt;=Projects!$W$2:$W$45+$B$17)*$B$107)*((Projects!$B$2:$B$45&gt;=$B$12)*$B$9+(Projects!$B$2:$B$45&lt;$B$12)*(Projects!$B$2:$B$45&gt;=$B$13)*$B$10+(Projects!$B$2:$B$45&lt;$B$13)*$B$11))</f>
        <v>0</v>
      </c>
      <c r="AU40" s="384" t="n">
        <f aca="false">SUMPRODUCT((Projects!$G$2:$G$45="Yes")*(43&gt;=Projects!$C$2:$C$45-$B$16)*((43&lt;=Projects!$W$2:$W$45-$B$106)*1+(43&gt;Projects!$W$2:$W$45-$B$106)*(43&lt;=Projects!$W$2:$W$45+$B$17)*$B$107)*((Projects!$B$2:$B$45&gt;=$B$12)*$B$9+(Projects!$B$2:$B$45&lt;$B$12)*(Projects!$B$2:$B$45&gt;=$B$13)*$B$10+(Projects!$B$2:$B$45&lt;$B$13)*$B$11))</f>
        <v>0</v>
      </c>
      <c r="AV40" s="384" t="n">
        <f aca="false">SUMPRODUCT((Projects!$G$2:$G$45="Yes")*(44&gt;=Projects!$C$2:$C$45-$B$16)*((44&lt;=Projects!$W$2:$W$45-$B$106)*1+(44&gt;Projects!$W$2:$W$45-$B$106)*(44&lt;=Projects!$W$2:$W$45+$B$17)*$B$107)*((Projects!$B$2:$B$45&gt;=$B$12)*$B$9+(Projects!$B$2:$B$45&lt;$B$12)*(Projects!$B$2:$B$45&gt;=$B$13)*$B$10+(Projects!$B$2:$B$45&lt;$B$13)*$B$11))</f>
        <v>0</v>
      </c>
      <c r="AW40" s="384" t="n">
        <f aca="false">SUMPRODUCT((Projects!$G$2:$G$45="Yes")*(45&gt;=Projects!$C$2:$C$45-$B$16)*((45&lt;=Projects!$W$2:$W$45-$B$106)*1+(45&gt;Projects!$W$2:$W$45-$B$106)*(45&lt;=Projects!$W$2:$W$45+$B$17)*$B$107)*((Projects!$B$2:$B$45&gt;=$B$12)*$B$9+(Projects!$B$2:$B$45&lt;$B$12)*(Projects!$B$2:$B$45&gt;=$B$13)*$B$10+(Projects!$B$2:$B$45&lt;$B$13)*$B$11))</f>
        <v>0</v>
      </c>
      <c r="AX40" s="384" t="n">
        <f aca="false">SUMPRODUCT((Projects!$G$2:$G$45="Yes")*(46&gt;=Projects!$C$2:$C$45-$B$16)*((46&lt;=Projects!$W$2:$W$45-$B$106)*1+(46&gt;Projects!$W$2:$W$45-$B$106)*(46&lt;=Projects!$W$2:$W$45+$B$17)*$B$107)*((Projects!$B$2:$B$45&gt;=$B$12)*$B$9+(Projects!$B$2:$B$45&lt;$B$12)*(Projects!$B$2:$B$45&gt;=$B$13)*$B$10+(Projects!$B$2:$B$45&lt;$B$13)*$B$11))</f>
        <v>0</v>
      </c>
      <c r="AY40" s="384" t="n">
        <f aca="false">SUMPRODUCT((Projects!$G$2:$G$45="Yes")*(47&gt;=Projects!$C$2:$C$45-$B$16)*((47&lt;=Projects!$W$2:$W$45-$B$106)*1+(47&gt;Projects!$W$2:$W$45-$B$106)*(47&lt;=Projects!$W$2:$W$45+$B$17)*$B$107)*((Projects!$B$2:$B$45&gt;=$B$12)*$B$9+(Projects!$B$2:$B$45&lt;$B$12)*(Projects!$B$2:$B$45&gt;=$B$13)*$B$10+(Projects!$B$2:$B$45&lt;$B$13)*$B$11))</f>
        <v>0</v>
      </c>
      <c r="AZ40" s="384" t="n">
        <f aca="false">SUMPRODUCT((Projects!$G$2:$G$45="Yes")*(48&gt;=Projects!$C$2:$C$45-$B$16)*((48&lt;=Projects!$W$2:$W$45-$B$106)*1+(48&gt;Projects!$W$2:$W$45-$B$106)*(48&lt;=Projects!$W$2:$W$45+$B$17)*$B$107)*((Projects!$B$2:$B$45&gt;=$B$12)*$B$9+(Projects!$B$2:$B$45&lt;$B$12)*(Projects!$B$2:$B$45&gt;=$B$13)*$B$10+(Projects!$B$2:$B$45&lt;$B$13)*$B$11))</f>
        <v>0</v>
      </c>
      <c r="BA40" s="384" t="n">
        <f aca="false">SUMPRODUCT((Projects!$G$2:$G$45="Yes")*(49&gt;=Projects!$C$2:$C$45-$B$16)*((49&lt;=Projects!$W$2:$W$45-$B$106)*1+(49&gt;Projects!$W$2:$W$45-$B$106)*(49&lt;=Projects!$W$2:$W$45+$B$17)*$B$107)*((Projects!$B$2:$B$45&gt;=$B$12)*$B$9+(Projects!$B$2:$B$45&lt;$B$12)*(Projects!$B$2:$B$45&gt;=$B$13)*$B$10+(Projects!$B$2:$B$45&lt;$B$13)*$B$11))</f>
        <v>0</v>
      </c>
      <c r="BB40" s="384" t="n">
        <f aca="false">SUMPRODUCT((Projects!$G$2:$G$45="Yes")*(50&gt;=Projects!$C$2:$C$45-$B$16)*((50&lt;=Projects!$W$2:$W$45-$B$106)*1+(50&gt;Projects!$W$2:$W$45-$B$106)*(50&lt;=Projects!$W$2:$W$45+$B$17)*$B$107)*((Projects!$B$2:$B$45&gt;=$B$12)*$B$9+(Projects!$B$2:$B$45&lt;$B$12)*(Projects!$B$2:$B$45&gt;=$B$13)*$B$10+(Projects!$B$2:$B$45&lt;$B$13)*$B$11))</f>
        <v>0</v>
      </c>
      <c r="BC40" s="384" t="n">
        <f aca="false">SUMPRODUCT((Projects!$G$2:$G$45="Yes")*(51&gt;=Projects!$C$2:$C$45-$B$16)*((51&lt;=Projects!$W$2:$W$45-$B$106)*1+(51&gt;Projects!$W$2:$W$45-$B$106)*(51&lt;=Projects!$W$2:$W$45+$B$17)*$B$107)*((Projects!$B$2:$B$45&gt;=$B$12)*$B$9+(Projects!$B$2:$B$45&lt;$B$12)*(Projects!$B$2:$B$45&gt;=$B$13)*$B$10+(Projects!$B$2:$B$45&lt;$B$13)*$B$11))</f>
        <v>0</v>
      </c>
      <c r="BD40" s="384" t="n">
        <f aca="false">SUMPRODUCT((Projects!$G$2:$G$45="Yes")*(52&gt;=Projects!$C$2:$C$45-$B$16)*((52&lt;=Projects!$W$2:$W$45-$B$106)*1+(52&gt;Projects!$W$2:$W$45-$B$106)*(52&lt;=Projects!$W$2:$W$45+$B$17)*$B$107)*((Projects!$B$2:$B$45&gt;=$B$12)*$B$9+(Projects!$B$2:$B$45&lt;$B$12)*(Projects!$B$2:$B$45&gt;=$B$13)*$B$10+(Projects!$B$2:$B$45&lt;$B$13)*$B$11))</f>
        <v>0</v>
      </c>
      <c r="BE40" s="384" t="n">
        <f aca="false">SUMPRODUCT((Projects!$G$2:$G$45="Yes")*(53&gt;=Projects!$C$2:$C$45-$B$16)*((53&lt;=Projects!$W$2:$W$45-$B$106)*1+(53&gt;Projects!$W$2:$W$45-$B$106)*(53&lt;=Projects!$W$2:$W$45+$B$17)*$B$107)*((Projects!$B$2:$B$45&gt;=$B$12)*$B$9+(Projects!$B$2:$B$45&lt;$B$12)*(Projects!$B$2:$B$45&gt;=$B$13)*$B$10+(Projects!$B$2:$B$45&lt;$B$13)*$B$11))</f>
        <v>0</v>
      </c>
      <c r="BF40" s="384" t="n">
        <f aca="false">SUMPRODUCT((Projects!$G$2:$G$45="Yes")*(54&gt;=Projects!$C$2:$C$45-$B$16)*((54&lt;=Projects!$W$2:$W$45-$B$106)*1+(54&gt;Projects!$W$2:$W$45-$B$106)*(54&lt;=Projects!$W$2:$W$45+$B$17)*$B$107)*((Projects!$B$2:$B$45&gt;=$B$12)*$B$9+(Projects!$B$2:$B$45&lt;$B$12)*(Projects!$B$2:$B$45&gt;=$B$13)*$B$10+(Projects!$B$2:$B$45&lt;$B$13)*$B$11))</f>
        <v>0</v>
      </c>
      <c r="BG40" s="384" t="n">
        <f aca="false">SUMPRODUCT((Projects!$G$2:$G$45="Yes")*(55&gt;=Projects!$C$2:$C$45-$B$16)*((55&lt;=Projects!$W$2:$W$45-$B$106)*1+(55&gt;Projects!$W$2:$W$45-$B$106)*(55&lt;=Projects!$W$2:$W$45+$B$17)*$B$107)*((Projects!$B$2:$B$45&gt;=$B$12)*$B$9+(Projects!$B$2:$B$45&lt;$B$12)*(Projects!$B$2:$B$45&gt;=$B$13)*$B$10+(Projects!$B$2:$B$45&lt;$B$13)*$B$11))</f>
        <v>0</v>
      </c>
      <c r="BH40" s="384" t="n">
        <f aca="false">SUMPRODUCT((Projects!$G$2:$G$45="Yes")*(56&gt;=Projects!$C$2:$C$45-$B$16)*((56&lt;=Projects!$W$2:$W$45-$B$106)*1+(56&gt;Projects!$W$2:$W$45-$B$106)*(56&lt;=Projects!$W$2:$W$45+$B$17)*$B$107)*((Projects!$B$2:$B$45&gt;=$B$12)*$B$9+(Projects!$B$2:$B$45&lt;$B$12)*(Projects!$B$2:$B$45&gt;=$B$13)*$B$10+(Projects!$B$2:$B$45&lt;$B$13)*$B$11))</f>
        <v>0</v>
      </c>
      <c r="BI40" s="384" t="n">
        <f aca="false">SUMPRODUCT((Projects!$G$2:$G$45="Yes")*(57&gt;=Projects!$C$2:$C$45-$B$16)*((57&lt;=Projects!$W$2:$W$45-$B$106)*1+(57&gt;Projects!$W$2:$W$45-$B$106)*(57&lt;=Projects!$W$2:$W$45+$B$17)*$B$107)*((Projects!$B$2:$B$45&gt;=$B$12)*$B$9+(Projects!$B$2:$B$45&lt;$B$12)*(Projects!$B$2:$B$45&gt;=$B$13)*$B$10+(Projects!$B$2:$B$45&lt;$B$13)*$B$11))</f>
        <v>0</v>
      </c>
      <c r="BJ40" s="384" t="n">
        <f aca="false">SUMPRODUCT((Projects!$G$2:$G$45="Yes")*(58&gt;=Projects!$C$2:$C$45-$B$16)*((58&lt;=Projects!$W$2:$W$45-$B$106)*1+(58&gt;Projects!$W$2:$W$45-$B$106)*(58&lt;=Projects!$W$2:$W$45+$B$17)*$B$107)*((Projects!$B$2:$B$45&gt;=$B$12)*$B$9+(Projects!$B$2:$B$45&lt;$B$12)*(Projects!$B$2:$B$45&gt;=$B$13)*$B$10+(Projects!$B$2:$B$45&lt;$B$13)*$B$11))</f>
        <v>0</v>
      </c>
      <c r="BK40" s="384" t="n">
        <f aca="false">SUMPRODUCT((Projects!$G$2:$G$45="Yes")*(59&gt;=Projects!$C$2:$C$45-$B$16)*((59&lt;=Projects!$W$2:$W$45-$B$106)*1+(59&gt;Projects!$W$2:$W$45-$B$106)*(59&lt;=Projects!$W$2:$W$45+$B$17)*$B$107)*((Projects!$B$2:$B$45&gt;=$B$12)*$B$9+(Projects!$B$2:$B$45&lt;$B$12)*(Projects!$B$2:$B$45&gt;=$B$13)*$B$10+(Projects!$B$2:$B$45&lt;$B$13)*$B$11))</f>
        <v>0</v>
      </c>
      <c r="BL40" s="384" t="n">
        <f aca="false">SUMPRODUCT((Projects!$G$2:$G$45="Yes")*(60&gt;=Projects!$C$2:$C$45-$B$16)*((60&lt;=Projects!$W$2:$W$45-$B$106)*1+(60&gt;Projects!$W$2:$W$45-$B$106)*(60&lt;=Projects!$W$2:$W$45+$B$17)*$B$107)*((Projects!$B$2:$B$45&gt;=$B$12)*$B$9+(Projects!$B$2:$B$45&lt;$B$12)*(Projects!$B$2:$B$45&gt;=$B$13)*$B$10+(Projects!$B$2:$B$45&lt;$B$13)*$B$11))</f>
        <v>0</v>
      </c>
      <c r="BM40" s="384" t="n">
        <f aca="false">SUMPRODUCT((Projects!$G$2:$G$45="Yes")*(61&gt;=Projects!$C$2:$C$45-$B$16)*((61&lt;=Projects!$W$2:$W$45-$B$106)*1+(61&gt;Projects!$W$2:$W$45-$B$106)*(61&lt;=Projects!$W$2:$W$45+$B$17)*$B$107)*((Projects!$B$2:$B$45&gt;=$B$12)*$B$9+(Projects!$B$2:$B$45&lt;$B$12)*(Projects!$B$2:$B$45&gt;=$B$13)*$B$10+(Projects!$B$2:$B$45&lt;$B$13)*$B$11))</f>
        <v>0</v>
      </c>
      <c r="BN40" s="384" t="n">
        <f aca="false">SUMPRODUCT((Projects!$G$2:$G$45="Yes")*(62&gt;=Projects!$C$2:$C$45-$B$16)*((62&lt;=Projects!$W$2:$W$45-$B$106)*1+(62&gt;Projects!$W$2:$W$45-$B$106)*(62&lt;=Projects!$W$2:$W$45+$B$17)*$B$107)*((Projects!$B$2:$B$45&gt;=$B$12)*$B$9+(Projects!$B$2:$B$45&lt;$B$12)*(Projects!$B$2:$B$45&gt;=$B$13)*$B$10+(Projects!$B$2:$B$45&lt;$B$13)*$B$11))</f>
        <v>0</v>
      </c>
      <c r="BO40" s="384" t="n">
        <f aca="false">SUMPRODUCT((Projects!$G$2:$G$45="Yes")*(63&gt;=Projects!$C$2:$C$45-$B$16)*((63&lt;=Projects!$W$2:$W$45-$B$106)*1+(63&gt;Projects!$W$2:$W$45-$B$106)*(63&lt;=Projects!$W$2:$W$45+$B$17)*$B$107)*((Projects!$B$2:$B$45&gt;=$B$12)*$B$9+(Projects!$B$2:$B$45&lt;$B$12)*(Projects!$B$2:$B$45&gt;=$B$13)*$B$10+(Projects!$B$2:$B$45&lt;$B$13)*$B$11))</f>
        <v>0</v>
      </c>
      <c r="BP40" s="384" t="n">
        <f aca="false">SUMPRODUCT((Projects!$G$2:$G$45="Yes")*(64&gt;=Projects!$C$2:$C$45-$B$16)*((64&lt;=Projects!$W$2:$W$45-$B$106)*1+(64&gt;Projects!$W$2:$W$45-$B$106)*(64&lt;=Projects!$W$2:$W$45+$B$17)*$B$107)*((Projects!$B$2:$B$45&gt;=$B$12)*$B$9+(Projects!$B$2:$B$45&lt;$B$12)*(Projects!$B$2:$B$45&gt;=$B$13)*$B$10+(Projects!$B$2:$B$45&lt;$B$13)*$B$11))</f>
        <v>0</v>
      </c>
      <c r="BQ40" s="384" t="n">
        <f aca="false">SUMPRODUCT((Projects!$G$2:$G$45="Yes")*(65&gt;=Projects!$C$2:$C$45-$B$16)*((65&lt;=Projects!$W$2:$W$45-$B$106)*1+(65&gt;Projects!$W$2:$W$45-$B$106)*(65&lt;=Projects!$W$2:$W$45+$B$17)*$B$107)*((Projects!$B$2:$B$45&gt;=$B$12)*$B$9+(Projects!$B$2:$B$45&lt;$B$12)*(Projects!$B$2:$B$45&gt;=$B$13)*$B$10+(Projects!$B$2:$B$45&lt;$B$13)*$B$11))</f>
        <v>0</v>
      </c>
      <c r="BR40" s="384" t="n">
        <f aca="false">SUMPRODUCT((Projects!$G$2:$G$45="Yes")*(66&gt;=Projects!$C$2:$C$45-$B$16)*((66&lt;=Projects!$W$2:$W$45-$B$106)*1+(66&gt;Projects!$W$2:$W$45-$B$106)*(66&lt;=Projects!$W$2:$W$45+$B$17)*$B$107)*((Projects!$B$2:$B$45&gt;=$B$12)*$B$9+(Projects!$B$2:$B$45&lt;$B$12)*(Projects!$B$2:$B$45&gt;=$B$13)*$B$10+(Projects!$B$2:$B$45&lt;$B$13)*$B$11))</f>
        <v>0</v>
      </c>
      <c r="BS40" s="384" t="n">
        <f aca="false">SUMPRODUCT((Projects!$G$2:$G$45="Yes")*(67&gt;=Projects!$C$2:$C$45-$B$16)*((67&lt;=Projects!$W$2:$W$45-$B$106)*1+(67&gt;Projects!$W$2:$W$45-$B$106)*(67&lt;=Projects!$W$2:$W$45+$B$17)*$B$107)*((Projects!$B$2:$B$45&gt;=$B$12)*$B$9+(Projects!$B$2:$B$45&lt;$B$12)*(Projects!$B$2:$B$45&gt;=$B$13)*$B$10+(Projects!$B$2:$B$45&lt;$B$13)*$B$11))</f>
        <v>0</v>
      </c>
      <c r="BT40" s="384" t="n">
        <f aca="false">SUMPRODUCT((Projects!$G$2:$G$45="Yes")*(68&gt;=Projects!$C$2:$C$45-$B$16)*((68&lt;=Projects!$W$2:$W$45-$B$106)*1+(68&gt;Projects!$W$2:$W$45-$B$106)*(68&lt;=Projects!$W$2:$W$45+$B$17)*$B$107)*((Projects!$B$2:$B$45&gt;=$B$12)*$B$9+(Projects!$B$2:$B$45&lt;$B$12)*(Projects!$B$2:$B$45&gt;=$B$13)*$B$10+(Projects!$B$2:$B$45&lt;$B$13)*$B$11))</f>
        <v>0</v>
      </c>
      <c r="BU40" s="384" t="n">
        <f aca="false">SUMPRODUCT((Projects!$G$2:$G$45="Yes")*(69&gt;=Projects!$C$2:$C$45-$B$16)*((69&lt;=Projects!$W$2:$W$45-$B$106)*1+(69&gt;Projects!$W$2:$W$45-$B$106)*(69&lt;=Projects!$W$2:$W$45+$B$17)*$B$107)*((Projects!$B$2:$B$45&gt;=$B$12)*$B$9+(Projects!$B$2:$B$45&lt;$B$12)*(Projects!$B$2:$B$45&gt;=$B$13)*$B$10+(Projects!$B$2:$B$45&lt;$B$13)*$B$11))</f>
        <v>0</v>
      </c>
      <c r="BV40" s="384" t="n">
        <f aca="false">SUMPRODUCT((Projects!$G$2:$G$45="Yes")*(70&gt;=Projects!$C$2:$C$45-$B$16)*((70&lt;=Projects!$W$2:$W$45-$B$106)*1+(70&gt;Projects!$W$2:$W$45-$B$106)*(70&lt;=Projects!$W$2:$W$45+$B$17)*$B$107)*((Projects!$B$2:$B$45&gt;=$B$12)*$B$9+(Projects!$B$2:$B$45&lt;$B$12)*(Projects!$B$2:$B$45&gt;=$B$13)*$B$10+(Projects!$B$2:$B$45&lt;$B$13)*$B$11))</f>
        <v>0</v>
      </c>
      <c r="BW40" s="384" t="n">
        <f aca="false">SUMPRODUCT((Projects!$G$2:$G$45="Yes")*(71&gt;=Projects!$C$2:$C$45-$B$16)*((71&lt;=Projects!$W$2:$W$45-$B$106)*1+(71&gt;Projects!$W$2:$W$45-$B$106)*(71&lt;=Projects!$W$2:$W$45+$B$17)*$B$107)*((Projects!$B$2:$B$45&gt;=$B$12)*$B$9+(Projects!$B$2:$B$45&lt;$B$12)*(Projects!$B$2:$B$45&gt;=$B$13)*$B$10+(Projects!$B$2:$B$45&lt;$B$13)*$B$11))</f>
        <v>0</v>
      </c>
      <c r="BX40" s="384" t="n">
        <f aca="false">SUMPRODUCT((Projects!$G$2:$G$45="Yes")*(72&gt;=Projects!$C$2:$C$45-$B$16)*((72&lt;=Projects!$W$2:$W$45-$B$106)*1+(72&gt;Projects!$W$2:$W$45-$B$106)*(72&lt;=Projects!$W$2:$W$45+$B$17)*$B$107)*((Projects!$B$2:$B$45&gt;=$B$12)*$B$9+(Projects!$B$2:$B$45&lt;$B$12)*(Projects!$B$2:$B$45&gt;=$B$13)*$B$10+(Projects!$B$2:$B$45&lt;$B$13)*$B$11))</f>
        <v>0</v>
      </c>
      <c r="BY40" s="384" t="n">
        <f aca="false">SUMPRODUCT((Projects!$G$2:$G$45="Yes")*(73&gt;=Projects!$C$2:$C$45-$B$16)*((73&lt;=Projects!$W$2:$W$45-$B$106)*1+(73&gt;Projects!$W$2:$W$45-$B$106)*(73&lt;=Projects!$W$2:$W$45+$B$17)*$B$107)*((Projects!$B$2:$B$45&gt;=$B$12)*$B$9+(Projects!$B$2:$B$45&lt;$B$12)*(Projects!$B$2:$B$45&gt;=$B$13)*$B$10+(Projects!$B$2:$B$45&lt;$B$13)*$B$11))</f>
        <v>0</v>
      </c>
      <c r="BZ40" s="384" t="n">
        <f aca="false">SUMPRODUCT((Projects!$G$2:$G$45="Yes")*(74&gt;=Projects!$C$2:$C$45-$B$16)*((74&lt;=Projects!$W$2:$W$45-$B$106)*1+(74&gt;Projects!$W$2:$W$45-$B$106)*(74&lt;=Projects!$W$2:$W$45+$B$17)*$B$107)*((Projects!$B$2:$B$45&gt;=$B$12)*$B$9+(Projects!$B$2:$B$45&lt;$B$12)*(Projects!$B$2:$B$45&gt;=$B$13)*$B$10+(Projects!$B$2:$B$45&lt;$B$13)*$B$11))</f>
        <v>0</v>
      </c>
      <c r="CA40" s="384" t="n">
        <f aca="false">SUMPRODUCT((Projects!$G$2:$G$45="Yes")*(75&gt;=Projects!$C$2:$C$45-$B$16)*((75&lt;=Projects!$W$2:$W$45-$B$106)*1+(75&gt;Projects!$W$2:$W$45-$B$106)*(75&lt;=Projects!$W$2:$W$45+$B$17)*$B$107)*((Projects!$B$2:$B$45&gt;=$B$12)*$B$9+(Projects!$B$2:$B$45&lt;$B$12)*(Projects!$B$2:$B$45&gt;=$B$13)*$B$10+(Projects!$B$2:$B$45&lt;$B$13)*$B$11))</f>
        <v>0</v>
      </c>
      <c r="CB40" s="384" t="n">
        <f aca="false">SUMPRODUCT((Projects!$G$2:$G$45="Yes")*(76&gt;=Projects!$C$2:$C$45-$B$16)*((76&lt;=Projects!$W$2:$W$45-$B$106)*1+(76&gt;Projects!$W$2:$W$45-$B$106)*(76&lt;=Projects!$W$2:$W$45+$B$17)*$B$107)*((Projects!$B$2:$B$45&gt;=$B$12)*$B$9+(Projects!$B$2:$B$45&lt;$B$12)*(Projects!$B$2:$B$45&gt;=$B$13)*$B$10+(Projects!$B$2:$B$45&lt;$B$13)*$B$11))</f>
        <v>0</v>
      </c>
      <c r="CC40" s="384" t="n">
        <f aca="false">SUMPRODUCT((Projects!$G$2:$G$45="Yes")*(77&gt;=Projects!$C$2:$C$45-$B$16)*((77&lt;=Projects!$W$2:$W$45-$B$106)*1+(77&gt;Projects!$W$2:$W$45-$B$106)*(77&lt;=Projects!$W$2:$W$45+$B$17)*$B$107)*((Projects!$B$2:$B$45&gt;=$B$12)*$B$9+(Projects!$B$2:$B$45&lt;$B$12)*(Projects!$B$2:$B$45&gt;=$B$13)*$B$10+(Projects!$B$2:$B$45&lt;$B$13)*$B$11))</f>
        <v>0</v>
      </c>
      <c r="CD40" s="384" t="n">
        <f aca="false">SUMPRODUCT((Projects!$G$2:$G$45="Yes")*(78&gt;=Projects!$C$2:$C$45-$B$16)*((78&lt;=Projects!$W$2:$W$45-$B$106)*1+(78&gt;Projects!$W$2:$W$45-$B$106)*(78&lt;=Projects!$W$2:$W$45+$B$17)*$B$107)*((Projects!$B$2:$B$45&gt;=$B$12)*$B$9+(Projects!$B$2:$B$45&lt;$B$12)*(Projects!$B$2:$B$45&gt;=$B$13)*$B$10+(Projects!$B$2:$B$45&lt;$B$13)*$B$11))</f>
        <v>0</v>
      </c>
      <c r="CE40" s="384" t="n">
        <f aca="false">SUMPRODUCT((Projects!$G$2:$G$45="Yes")*(79&gt;=Projects!$C$2:$C$45-$B$16)*((79&lt;=Projects!$W$2:$W$45-$B$106)*1+(79&gt;Projects!$W$2:$W$45-$B$106)*(79&lt;=Projects!$W$2:$W$45+$B$17)*$B$107)*((Projects!$B$2:$B$45&gt;=$B$12)*$B$9+(Projects!$B$2:$B$45&lt;$B$12)*(Projects!$B$2:$B$45&gt;=$B$13)*$B$10+(Projects!$B$2:$B$45&lt;$B$13)*$B$11))</f>
        <v>0</v>
      </c>
      <c r="CF40" s="384" t="n">
        <f aca="false">SUMPRODUCT((Projects!$G$2:$G$45="Yes")*(80&gt;=Projects!$C$2:$C$45-$B$16)*((80&lt;=Projects!$W$2:$W$45-$B$106)*1+(80&gt;Projects!$W$2:$W$45-$B$106)*(80&lt;=Projects!$W$2:$W$45+$B$17)*$B$107)*((Projects!$B$2:$B$45&gt;=$B$12)*$B$9+(Projects!$B$2:$B$45&lt;$B$12)*(Projects!$B$2:$B$45&gt;=$B$13)*$B$10+(Projects!$B$2:$B$45&lt;$B$13)*$B$11))</f>
        <v>0</v>
      </c>
      <c r="CG40" s="384" t="n">
        <f aca="false">SUMPRODUCT((Projects!$G$2:$G$45="Yes")*(81&gt;=Projects!$C$2:$C$45-$B$16)*((81&lt;=Projects!$W$2:$W$45-$B$106)*1+(81&gt;Projects!$W$2:$W$45-$B$106)*(81&lt;=Projects!$W$2:$W$45+$B$17)*$B$107)*((Projects!$B$2:$B$45&gt;=$B$12)*$B$9+(Projects!$B$2:$B$45&lt;$B$12)*(Projects!$B$2:$B$45&gt;=$B$13)*$B$10+(Projects!$B$2:$B$45&lt;$B$13)*$B$11))</f>
        <v>0</v>
      </c>
      <c r="CH40" s="384" t="n">
        <f aca="false">SUMPRODUCT((Projects!$G$2:$G$45="Yes")*(82&gt;=Projects!$C$2:$C$45-$B$16)*((82&lt;=Projects!$W$2:$W$45-$B$106)*1+(82&gt;Projects!$W$2:$W$45-$B$106)*(82&lt;=Projects!$W$2:$W$45+$B$17)*$B$107)*((Projects!$B$2:$B$45&gt;=$B$12)*$B$9+(Projects!$B$2:$B$45&lt;$B$12)*(Projects!$B$2:$B$45&gt;=$B$13)*$B$10+(Projects!$B$2:$B$45&lt;$B$13)*$B$11))</f>
        <v>0</v>
      </c>
      <c r="CI40" s="384" t="n">
        <f aca="false">SUMPRODUCT((Projects!$G$2:$G$45="Yes")*(83&gt;=Projects!$C$2:$C$45-$B$16)*((83&lt;=Projects!$W$2:$W$45-$B$106)*1+(83&gt;Projects!$W$2:$W$45-$B$106)*(83&lt;=Projects!$W$2:$W$45+$B$17)*$B$107)*((Projects!$B$2:$B$45&gt;=$B$12)*$B$9+(Projects!$B$2:$B$45&lt;$B$12)*(Projects!$B$2:$B$45&gt;=$B$13)*$B$10+(Projects!$B$2:$B$45&lt;$B$13)*$B$11))</f>
        <v>0</v>
      </c>
      <c r="CJ40" s="384" t="n">
        <f aca="false">SUMPRODUCT((Projects!$G$2:$G$45="Yes")*(84&gt;=Projects!$C$2:$C$45-$B$16)*((84&lt;=Projects!$W$2:$W$45-$B$106)*1+(84&gt;Projects!$W$2:$W$45-$B$106)*(84&lt;=Projects!$W$2:$W$45+$B$17)*$B$107)*((Projects!$B$2:$B$45&gt;=$B$12)*$B$9+(Projects!$B$2:$B$45&lt;$B$12)*(Projects!$B$2:$B$45&gt;=$B$13)*$B$10+(Projects!$B$2:$B$45&lt;$B$13)*$B$11))</f>
        <v>0</v>
      </c>
      <c r="CK40" s="384" t="n">
        <f aca="false">SUMPRODUCT((Projects!$G$2:$G$45="Yes")*(85&gt;=Projects!$C$2:$C$45-$B$16)*((85&lt;=Projects!$W$2:$W$45-$B$106)*1+(85&gt;Projects!$W$2:$W$45-$B$106)*(85&lt;=Projects!$W$2:$W$45+$B$17)*$B$107)*((Projects!$B$2:$B$45&gt;=$B$12)*$B$9+(Projects!$B$2:$B$45&lt;$B$12)*(Projects!$B$2:$B$45&gt;=$B$13)*$B$10+(Projects!$B$2:$B$45&lt;$B$13)*$B$11))</f>
        <v>0</v>
      </c>
      <c r="CL40" s="384" t="n">
        <f aca="false">SUMPRODUCT((Projects!$G$2:$G$45="Yes")*(86&gt;=Projects!$C$2:$C$45-$B$16)*((86&lt;=Projects!$W$2:$W$45-$B$106)*1+(86&gt;Projects!$W$2:$W$45-$B$106)*(86&lt;=Projects!$W$2:$W$45+$B$17)*$B$107)*((Projects!$B$2:$B$45&gt;=$B$12)*$B$9+(Projects!$B$2:$B$45&lt;$B$12)*(Projects!$B$2:$B$45&gt;=$B$13)*$B$10+(Projects!$B$2:$B$45&lt;$B$13)*$B$11))</f>
        <v>0</v>
      </c>
      <c r="CM40" s="384" t="n">
        <f aca="false">SUMPRODUCT((Projects!$G$2:$G$45="Yes")*(87&gt;=Projects!$C$2:$C$45-$B$16)*((87&lt;=Projects!$W$2:$W$45-$B$106)*1+(87&gt;Projects!$W$2:$W$45-$B$106)*(87&lt;=Projects!$W$2:$W$45+$B$17)*$B$107)*((Projects!$B$2:$B$45&gt;=$B$12)*$B$9+(Projects!$B$2:$B$45&lt;$B$12)*(Projects!$B$2:$B$45&gt;=$B$13)*$B$10+(Projects!$B$2:$B$45&lt;$B$13)*$B$11))</f>
        <v>0</v>
      </c>
      <c r="CN40" s="384" t="n">
        <f aca="false">SUMPRODUCT((Projects!$G$2:$G$45="Yes")*(88&gt;=Projects!$C$2:$C$45-$B$16)*((88&lt;=Projects!$W$2:$W$45-$B$106)*1+(88&gt;Projects!$W$2:$W$45-$B$106)*(88&lt;=Projects!$W$2:$W$45+$B$17)*$B$107)*((Projects!$B$2:$B$45&gt;=$B$12)*$B$9+(Projects!$B$2:$B$45&lt;$B$12)*(Projects!$B$2:$B$45&gt;=$B$13)*$B$10+(Projects!$B$2:$B$45&lt;$B$13)*$B$11))</f>
        <v>0</v>
      </c>
      <c r="CO40" s="384" t="n">
        <f aca="false">SUMPRODUCT((Projects!$G$2:$G$45="Yes")*(89&gt;=Projects!$C$2:$C$45-$B$16)*((89&lt;=Projects!$W$2:$W$45-$B$106)*1+(89&gt;Projects!$W$2:$W$45-$B$106)*(89&lt;=Projects!$W$2:$W$45+$B$17)*$B$107)*((Projects!$B$2:$B$45&gt;=$B$12)*$B$9+(Projects!$B$2:$B$45&lt;$B$12)*(Projects!$B$2:$B$45&gt;=$B$13)*$B$10+(Projects!$B$2:$B$45&lt;$B$13)*$B$11))</f>
        <v>0</v>
      </c>
      <c r="CP40" s="384" t="n">
        <f aca="false">SUMPRODUCT((Projects!$G$2:$G$45="Yes")*(90&gt;=Projects!$C$2:$C$45-$B$16)*((90&lt;=Projects!$W$2:$W$45-$B$106)*1+(90&gt;Projects!$W$2:$W$45-$B$106)*(90&lt;=Projects!$W$2:$W$45+$B$17)*$B$107)*((Projects!$B$2:$B$45&gt;=$B$12)*$B$9+(Projects!$B$2:$B$45&lt;$B$12)*(Projects!$B$2:$B$45&gt;=$B$13)*$B$10+(Projects!$B$2:$B$45&lt;$B$13)*$B$11))</f>
        <v>0</v>
      </c>
      <c r="CQ40" s="384" t="n">
        <f aca="false">SUMPRODUCT((Projects!$G$2:$G$45="Yes")*(91&gt;=Projects!$C$2:$C$45-$B$16)*((91&lt;=Projects!$W$2:$W$45-$B$106)*1+(91&gt;Projects!$W$2:$W$45-$B$106)*(91&lt;=Projects!$W$2:$W$45+$B$17)*$B$107)*((Projects!$B$2:$B$45&gt;=$B$12)*$B$9+(Projects!$B$2:$B$45&lt;$B$12)*(Projects!$B$2:$B$45&gt;=$B$13)*$B$10+(Projects!$B$2:$B$45&lt;$B$13)*$B$11))</f>
        <v>0</v>
      </c>
      <c r="CR40" s="384" t="n">
        <f aca="false">SUMPRODUCT((Projects!$G$2:$G$45="Yes")*(92&gt;=Projects!$C$2:$C$45-$B$16)*((92&lt;=Projects!$W$2:$W$45-$B$106)*1+(92&gt;Projects!$W$2:$W$45-$B$106)*(92&lt;=Projects!$W$2:$W$45+$B$17)*$B$107)*((Projects!$B$2:$B$45&gt;=$B$12)*$B$9+(Projects!$B$2:$B$45&lt;$B$12)*(Projects!$B$2:$B$45&gt;=$B$13)*$B$10+(Projects!$B$2:$B$45&lt;$B$13)*$B$11))</f>
        <v>0</v>
      </c>
      <c r="CS40" s="384" t="n">
        <f aca="false">SUMPRODUCT((Projects!$G$2:$G$45="Yes")*(93&gt;=Projects!$C$2:$C$45-$B$16)*((93&lt;=Projects!$W$2:$W$45-$B$106)*1+(93&gt;Projects!$W$2:$W$45-$B$106)*(93&lt;=Projects!$W$2:$W$45+$B$17)*$B$107)*((Projects!$B$2:$B$45&gt;=$B$12)*$B$9+(Projects!$B$2:$B$45&lt;$B$12)*(Projects!$B$2:$B$45&gt;=$B$13)*$B$10+(Projects!$B$2:$B$45&lt;$B$13)*$B$11))</f>
        <v>0</v>
      </c>
      <c r="CT40" s="384" t="n">
        <f aca="false">SUMPRODUCT((Projects!$G$2:$G$45="Yes")*(94&gt;=Projects!$C$2:$C$45-$B$16)*((94&lt;=Projects!$W$2:$W$45-$B$106)*1+(94&gt;Projects!$W$2:$W$45-$B$106)*(94&lt;=Projects!$W$2:$W$45+$B$17)*$B$107)*((Projects!$B$2:$B$45&gt;=$B$12)*$B$9+(Projects!$B$2:$B$45&lt;$B$12)*(Projects!$B$2:$B$45&gt;=$B$13)*$B$10+(Projects!$B$2:$B$45&lt;$B$13)*$B$11))</f>
        <v>0</v>
      </c>
      <c r="CU40" s="384" t="n">
        <f aca="false">SUMPRODUCT((Projects!$G$2:$G$45="Yes")*(95&gt;=Projects!$C$2:$C$45-$B$16)*((95&lt;=Projects!$W$2:$W$45-$B$106)*1+(95&gt;Projects!$W$2:$W$45-$B$106)*(95&lt;=Projects!$W$2:$W$45+$B$17)*$B$107)*((Projects!$B$2:$B$45&gt;=$B$12)*$B$9+(Projects!$B$2:$B$45&lt;$B$12)*(Projects!$B$2:$B$45&gt;=$B$13)*$B$10+(Projects!$B$2:$B$45&lt;$B$13)*$B$11))</f>
        <v>0</v>
      </c>
      <c r="CV40" s="384" t="n">
        <f aca="false">SUMPRODUCT((Projects!$G$2:$G$45="Yes")*(96&gt;=Projects!$C$2:$C$45-$B$16)*((96&lt;=Projects!$W$2:$W$45-$B$106)*1+(96&gt;Projects!$W$2:$W$45-$B$106)*(96&lt;=Projects!$W$2:$W$45+$B$17)*$B$107)*((Projects!$B$2:$B$45&gt;=$B$12)*$B$9+(Projects!$B$2:$B$45&lt;$B$12)*(Projects!$B$2:$B$45&gt;=$B$13)*$B$10+(Projects!$B$2:$B$45&lt;$B$13)*$B$11))</f>
        <v>0</v>
      </c>
      <c r="CW40" s="384" t="n">
        <f aca="false">SUMPRODUCT((Projects!$G$2:$G$45="Yes")*(97&gt;=Projects!$C$2:$C$45-$B$16)*((97&lt;=Projects!$W$2:$W$45-$B$106)*1+(97&gt;Projects!$W$2:$W$45-$B$106)*(97&lt;=Projects!$W$2:$W$45+$B$17)*$B$107)*((Projects!$B$2:$B$45&gt;=$B$12)*$B$9+(Projects!$B$2:$B$45&lt;$B$12)*(Projects!$B$2:$B$45&gt;=$B$13)*$B$10+(Projects!$B$2:$B$45&lt;$B$13)*$B$11))</f>
        <v>0</v>
      </c>
      <c r="CX40" s="384" t="n">
        <f aca="false">SUMPRODUCT((Projects!$G$2:$G$45="Yes")*(98&gt;=Projects!$C$2:$C$45-$B$16)*((98&lt;=Projects!$W$2:$W$45-$B$106)*1+(98&gt;Projects!$W$2:$W$45-$B$106)*(98&lt;=Projects!$W$2:$W$45+$B$17)*$B$107)*((Projects!$B$2:$B$45&gt;=$B$12)*$B$9+(Projects!$B$2:$B$45&lt;$B$12)*(Projects!$B$2:$B$45&gt;=$B$13)*$B$10+(Projects!$B$2:$B$45&lt;$B$13)*$B$11))</f>
        <v>0</v>
      </c>
      <c r="CY40" s="384" t="n">
        <f aca="false">SUMPRODUCT((Projects!$G$2:$G$45="Yes")*(99&gt;=Projects!$C$2:$C$45-$B$16)*((99&lt;=Projects!$W$2:$W$45-$B$106)*1+(99&gt;Projects!$W$2:$W$45-$B$106)*(99&lt;=Projects!$W$2:$W$45+$B$17)*$B$107)*((Projects!$B$2:$B$45&gt;=$B$12)*$B$9+(Projects!$B$2:$B$45&lt;$B$12)*(Projects!$B$2:$B$45&gt;=$B$13)*$B$10+(Projects!$B$2:$B$45&lt;$B$13)*$B$11))</f>
        <v>0</v>
      </c>
      <c r="CZ40" s="384" t="n">
        <f aca="false">SUMPRODUCT((Projects!$G$2:$G$45="Yes")*(100&gt;=Projects!$C$2:$C$45-$B$16)*((100&lt;=Projects!$W$2:$W$45-$B$106)*1+(100&gt;Projects!$W$2:$W$45-$B$106)*(100&lt;=Projects!$W$2:$W$45+$B$17)*$B$107)*((Projects!$B$2:$B$45&gt;=$B$12)*$B$9+(Projects!$B$2:$B$45&lt;$B$12)*(Projects!$B$2:$B$45&gt;=$B$13)*$B$10+(Projects!$B$2:$B$45&lt;$B$13)*$B$11))</f>
        <v>0</v>
      </c>
      <c r="DA40" s="384" t="n">
        <f aca="false">SUMPRODUCT((Projects!$G$2:$G$45="Yes")*(101&gt;=Projects!$C$2:$C$45-$B$16)*((101&lt;=Projects!$W$2:$W$45-$B$106)*1+(101&gt;Projects!$W$2:$W$45-$B$106)*(101&lt;=Projects!$W$2:$W$45+$B$17)*$B$107)*((Projects!$B$2:$B$45&gt;=$B$12)*$B$9+(Projects!$B$2:$B$45&lt;$B$12)*(Projects!$B$2:$B$45&gt;=$B$13)*$B$10+(Projects!$B$2:$B$45&lt;$B$13)*$B$11))</f>
        <v>0</v>
      </c>
      <c r="DB40" s="384" t="n">
        <f aca="false">SUMPRODUCT((Projects!$G$2:$G$45="Yes")*(102&gt;=Projects!$C$2:$C$45-$B$16)*((102&lt;=Projects!$W$2:$W$45-$B$106)*1+(102&gt;Projects!$W$2:$W$45-$B$106)*(102&lt;=Projects!$W$2:$W$45+$B$17)*$B$107)*((Projects!$B$2:$B$45&gt;=$B$12)*$B$9+(Projects!$B$2:$B$45&lt;$B$12)*(Projects!$B$2:$B$45&gt;=$B$13)*$B$10+(Projects!$B$2:$B$45&lt;$B$13)*$B$11))</f>
        <v>0</v>
      </c>
      <c r="DC40" s="384" t="n">
        <f aca="false">SUMPRODUCT((Projects!$G$2:$G$45="Yes")*(103&gt;=Projects!$C$2:$C$45-$B$16)*((103&lt;=Projects!$W$2:$W$45-$B$106)*1+(103&gt;Projects!$W$2:$W$45-$B$106)*(103&lt;=Projects!$W$2:$W$45+$B$17)*$B$107)*((Projects!$B$2:$B$45&gt;=$B$12)*$B$9+(Projects!$B$2:$B$45&lt;$B$12)*(Projects!$B$2:$B$45&gt;=$B$13)*$B$10+(Projects!$B$2:$B$45&lt;$B$13)*$B$11))</f>
        <v>0</v>
      </c>
      <c r="DD40" s="384" t="n">
        <f aca="false">SUMPRODUCT((Projects!$G$2:$G$45="Yes")*(104&gt;=Projects!$C$2:$C$45-$B$16)*((104&lt;=Projects!$W$2:$W$45-$B$106)*1+(104&gt;Projects!$W$2:$W$45-$B$106)*(104&lt;=Projects!$W$2:$W$45+$B$17)*$B$107)*((Projects!$B$2:$B$45&gt;=$B$12)*$B$9+(Projects!$B$2:$B$45&lt;$B$12)*(Projects!$B$2:$B$45&gt;=$B$13)*$B$10+(Projects!$B$2:$B$45&lt;$B$13)*$B$11))</f>
        <v>0</v>
      </c>
      <c r="DE40" s="384"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1379</v>
      </c>
      <c r="B42" s="212"/>
      <c r="C42" s="212"/>
      <c r="D42" s="212"/>
      <c r="E42" s="212"/>
      <c r="F42" s="212"/>
    </row>
    <row r="43" customFormat="false" ht="13.5" hidden="false" customHeight="true" outlineLevel="0" collapsed="false">
      <c r="A43" s="110" t="s">
        <v>1380</v>
      </c>
      <c r="E43" s="384" t="n">
        <f aca="false">SUMPRODUCT((Personnel!$P$9:$P$100="SUPER")*(Personnel!$G$9:$G$100="Yes")*(1&gt;=Personnel!$E$9:$E$100)*((Personnel!$K$9:$K$100="")+(1&lt;=Personnel!$K$9:$K$100)&gt;0))</f>
        <v>4</v>
      </c>
      <c r="F43" s="384" t="n">
        <f aca="false">SUMPRODUCT((Personnel!$P$9:$P$100="SUPER")*(Personnel!$G$9:$G$100="Yes")*(2&gt;=Personnel!$E$9:$E$100)*((Personnel!$K$9:$K$100="")+(2&lt;=Personnel!$K$9:$K$100)&gt;0))</f>
        <v>5</v>
      </c>
      <c r="G43" s="384" t="n">
        <f aca="false">SUMPRODUCT((Personnel!$P$9:$P$100="SUPER")*(Personnel!$G$9:$G$100="Yes")*(3&gt;=Personnel!$E$9:$E$100)*((Personnel!$K$9:$K$100="")+(3&lt;=Personnel!$K$9:$K$100)&gt;0))</f>
        <v>5</v>
      </c>
      <c r="H43" s="384" t="n">
        <f aca="false">SUMPRODUCT((Personnel!$P$9:$P$100="SUPER")*(Personnel!$G$9:$G$100="Yes")*(4&gt;=Personnel!$E$9:$E$100)*((Personnel!$K$9:$K$100="")+(4&lt;=Personnel!$K$9:$K$100)&gt;0))</f>
        <v>6</v>
      </c>
      <c r="I43" s="384" t="n">
        <f aca="false">SUMPRODUCT((Personnel!$P$9:$P$100="SUPER")*(Personnel!$G$9:$G$100="Yes")*(5&gt;=Personnel!$E$9:$E$100)*((Personnel!$K$9:$K$100="")+(5&lt;=Personnel!$K$9:$K$100)&gt;0))</f>
        <v>6</v>
      </c>
      <c r="J43" s="384" t="n">
        <f aca="false">SUMPRODUCT((Personnel!$P$9:$P$100="SUPER")*(Personnel!$G$9:$G$100="Yes")*(6&gt;=Personnel!$E$9:$E$100)*((Personnel!$K$9:$K$100="")+(6&lt;=Personnel!$K$9:$K$100)&gt;0))</f>
        <v>7</v>
      </c>
      <c r="K43" s="384" t="n">
        <f aca="false">SUMPRODUCT((Personnel!$P$9:$P$100="SUPER")*(Personnel!$G$9:$G$100="Yes")*(7&gt;=Personnel!$E$9:$E$100)*((Personnel!$K$9:$K$100="")+(7&lt;=Personnel!$K$9:$K$100)&gt;0))</f>
        <v>7</v>
      </c>
      <c r="L43" s="384" t="n">
        <f aca="false">SUMPRODUCT((Personnel!$P$9:$P$100="SUPER")*(Personnel!$G$9:$G$100="Yes")*(8&gt;=Personnel!$E$9:$E$100)*((Personnel!$K$9:$K$100="")+(8&lt;=Personnel!$K$9:$K$100)&gt;0))</f>
        <v>7</v>
      </c>
      <c r="M43" s="384" t="n">
        <f aca="false">SUMPRODUCT((Personnel!$P$9:$P$100="SUPER")*(Personnel!$G$9:$G$100="Yes")*(9&gt;=Personnel!$E$9:$E$100)*((Personnel!$K$9:$K$100="")+(9&lt;=Personnel!$K$9:$K$100)&gt;0))</f>
        <v>7</v>
      </c>
      <c r="N43" s="384" t="n">
        <f aca="false">SUMPRODUCT((Personnel!$P$9:$P$100="SUPER")*(Personnel!$G$9:$G$100="Yes")*(10&gt;=Personnel!$E$9:$E$100)*((Personnel!$K$9:$K$100="")+(10&lt;=Personnel!$K$9:$K$100)&gt;0))</f>
        <v>7</v>
      </c>
      <c r="O43" s="384" t="n">
        <f aca="false">SUMPRODUCT((Personnel!$P$9:$P$100="SUPER")*(Personnel!$G$9:$G$100="Yes")*(11&gt;=Personnel!$E$9:$E$100)*((Personnel!$K$9:$K$100="")+(11&lt;=Personnel!$K$9:$K$100)&gt;0))</f>
        <v>7</v>
      </c>
      <c r="P43" s="384" t="n">
        <f aca="false">SUMPRODUCT((Personnel!$P$9:$P$100="SUPER")*(Personnel!$G$9:$G$100="Yes")*(12&gt;=Personnel!$E$9:$E$100)*((Personnel!$K$9:$K$100="")+(12&lt;=Personnel!$K$9:$K$100)&gt;0))</f>
        <v>7</v>
      </c>
      <c r="Q43" s="384" t="n">
        <f aca="false">SUMPRODUCT((Personnel!$P$9:$P$100="SUPER")*(Personnel!$G$9:$G$100="Yes")*(13&gt;=Personnel!$E$9:$E$100)*((Personnel!$K$9:$K$100="")+(13&lt;=Personnel!$K$9:$K$100)&gt;0))</f>
        <v>7</v>
      </c>
      <c r="R43" s="384" t="n">
        <f aca="false">SUMPRODUCT((Personnel!$P$9:$P$100="SUPER")*(Personnel!$G$9:$G$100="Yes")*(14&gt;=Personnel!$E$9:$E$100)*((Personnel!$K$9:$K$100="")+(14&lt;=Personnel!$K$9:$K$100)&gt;0))</f>
        <v>7</v>
      </c>
      <c r="S43" s="384" t="n">
        <f aca="false">SUMPRODUCT((Personnel!$P$9:$P$100="SUPER")*(Personnel!$G$9:$G$100="Yes")*(15&gt;=Personnel!$E$9:$E$100)*((Personnel!$K$9:$K$100="")+(15&lt;=Personnel!$K$9:$K$100)&gt;0))</f>
        <v>7</v>
      </c>
      <c r="T43" s="384" t="n">
        <f aca="false">SUMPRODUCT((Personnel!$P$9:$P$100="SUPER")*(Personnel!$G$9:$G$100="Yes")*(16&gt;=Personnel!$E$9:$E$100)*((Personnel!$K$9:$K$100="")+(16&lt;=Personnel!$K$9:$K$100)&gt;0))</f>
        <v>7</v>
      </c>
      <c r="U43" s="384" t="n">
        <f aca="false">SUMPRODUCT((Personnel!$P$9:$P$100="SUPER")*(Personnel!$G$9:$G$100="Yes")*(17&gt;=Personnel!$E$9:$E$100)*((Personnel!$K$9:$K$100="")+(17&lt;=Personnel!$K$9:$K$100)&gt;0))</f>
        <v>7</v>
      </c>
      <c r="V43" s="384" t="n">
        <f aca="false">SUMPRODUCT((Personnel!$P$9:$P$100="SUPER")*(Personnel!$G$9:$G$100="Yes")*(18&gt;=Personnel!$E$9:$E$100)*((Personnel!$K$9:$K$100="")+(18&lt;=Personnel!$K$9:$K$100)&gt;0))</f>
        <v>7</v>
      </c>
      <c r="W43" s="384" t="n">
        <f aca="false">SUMPRODUCT((Personnel!$P$9:$P$100="SUPER")*(Personnel!$G$9:$G$100="Yes")*(19&gt;=Personnel!$E$9:$E$100)*((Personnel!$K$9:$K$100="")+(19&lt;=Personnel!$K$9:$K$100)&gt;0))</f>
        <v>7</v>
      </c>
      <c r="X43" s="384" t="n">
        <f aca="false">SUMPRODUCT((Personnel!$P$9:$P$100="SUPER")*(Personnel!$G$9:$G$100="Yes")*(20&gt;=Personnel!$E$9:$E$100)*((Personnel!$K$9:$K$100="")+(20&lt;=Personnel!$K$9:$K$100)&gt;0))</f>
        <v>7</v>
      </c>
      <c r="Y43" s="384" t="n">
        <f aca="false">SUMPRODUCT((Personnel!$P$9:$P$100="SUPER")*(Personnel!$G$9:$G$100="Yes")*(21&gt;=Personnel!$E$9:$E$100)*((Personnel!$K$9:$K$100="")+(21&lt;=Personnel!$K$9:$K$100)&gt;0))</f>
        <v>7</v>
      </c>
      <c r="Z43" s="384" t="n">
        <f aca="false">SUMPRODUCT((Personnel!$P$9:$P$100="SUPER")*(Personnel!$G$9:$G$100="Yes")*(22&gt;=Personnel!$E$9:$E$100)*((Personnel!$K$9:$K$100="")+(22&lt;=Personnel!$K$9:$K$100)&gt;0))</f>
        <v>7</v>
      </c>
      <c r="AA43" s="384" t="n">
        <f aca="false">SUMPRODUCT((Personnel!$P$9:$P$100="SUPER")*(Personnel!$G$9:$G$100="Yes")*(23&gt;=Personnel!$E$9:$E$100)*((Personnel!$K$9:$K$100="")+(23&lt;=Personnel!$K$9:$K$100)&gt;0))</f>
        <v>7</v>
      </c>
      <c r="AB43" s="384" t="n">
        <f aca="false">SUMPRODUCT((Personnel!$P$9:$P$100="SUPER")*(Personnel!$G$9:$G$100="Yes")*(24&gt;=Personnel!$E$9:$E$100)*((Personnel!$K$9:$K$100="")+(24&lt;=Personnel!$K$9:$K$100)&gt;0))</f>
        <v>7</v>
      </c>
      <c r="AC43" s="384" t="n">
        <f aca="false">SUMPRODUCT((Personnel!$P$9:$P$100="SUPER")*(Personnel!$G$9:$G$100="Yes")*(25&gt;=Personnel!$E$9:$E$100)*((Personnel!$K$9:$K$100="")+(25&lt;=Personnel!$K$9:$K$100)&gt;0))</f>
        <v>7</v>
      </c>
      <c r="AD43" s="384" t="n">
        <f aca="false">SUMPRODUCT((Personnel!$P$9:$P$100="SUPER")*(Personnel!$G$9:$G$100="Yes")*(26&gt;=Personnel!$E$9:$E$100)*((Personnel!$K$9:$K$100="")+(26&lt;=Personnel!$K$9:$K$100)&gt;0))</f>
        <v>7</v>
      </c>
      <c r="AE43" s="384" t="n">
        <f aca="false">SUMPRODUCT((Personnel!$P$9:$P$100="SUPER")*(Personnel!$G$9:$G$100="Yes")*(27&gt;=Personnel!$E$9:$E$100)*((Personnel!$K$9:$K$100="")+(27&lt;=Personnel!$K$9:$K$100)&gt;0))</f>
        <v>7</v>
      </c>
      <c r="AF43" s="384" t="n">
        <f aca="false">SUMPRODUCT((Personnel!$P$9:$P$100="SUPER")*(Personnel!$G$9:$G$100="Yes")*(28&gt;=Personnel!$E$9:$E$100)*((Personnel!$K$9:$K$100="")+(28&lt;=Personnel!$K$9:$K$100)&gt;0))</f>
        <v>7</v>
      </c>
      <c r="AG43" s="384" t="n">
        <f aca="false">SUMPRODUCT((Personnel!$P$9:$P$100="SUPER")*(Personnel!$G$9:$G$100="Yes")*(29&gt;=Personnel!$E$9:$E$100)*((Personnel!$K$9:$K$100="")+(29&lt;=Personnel!$K$9:$K$100)&gt;0))</f>
        <v>7</v>
      </c>
      <c r="AH43" s="384" t="n">
        <f aca="false">SUMPRODUCT((Personnel!$P$9:$P$100="SUPER")*(Personnel!$G$9:$G$100="Yes")*(30&gt;=Personnel!$E$9:$E$100)*((Personnel!$K$9:$K$100="")+(30&lt;=Personnel!$K$9:$K$100)&gt;0))</f>
        <v>7</v>
      </c>
      <c r="AI43" s="384" t="n">
        <f aca="false">SUMPRODUCT((Personnel!$P$9:$P$100="SUPER")*(Personnel!$G$9:$G$100="Yes")*(31&gt;=Personnel!$E$9:$E$100)*((Personnel!$K$9:$K$100="")+(31&lt;=Personnel!$K$9:$K$100)&gt;0))</f>
        <v>7</v>
      </c>
      <c r="AJ43" s="384" t="n">
        <f aca="false">SUMPRODUCT((Personnel!$P$9:$P$100="SUPER")*(Personnel!$G$9:$G$100="Yes")*(32&gt;=Personnel!$E$9:$E$100)*((Personnel!$K$9:$K$100="")+(32&lt;=Personnel!$K$9:$K$100)&gt;0))</f>
        <v>7</v>
      </c>
      <c r="AK43" s="384" t="n">
        <f aca="false">SUMPRODUCT((Personnel!$P$9:$P$100="SUPER")*(Personnel!$G$9:$G$100="Yes")*(33&gt;=Personnel!$E$9:$E$100)*((Personnel!$K$9:$K$100="")+(33&lt;=Personnel!$K$9:$K$100)&gt;0))</f>
        <v>7</v>
      </c>
      <c r="AL43" s="384" t="n">
        <f aca="false">SUMPRODUCT((Personnel!$P$9:$P$100="SUPER")*(Personnel!$G$9:$G$100="Yes")*(34&gt;=Personnel!$E$9:$E$100)*((Personnel!$K$9:$K$100="")+(34&lt;=Personnel!$K$9:$K$100)&gt;0))</f>
        <v>7</v>
      </c>
      <c r="AM43" s="384" t="n">
        <f aca="false">SUMPRODUCT((Personnel!$P$9:$P$100="SUPER")*(Personnel!$G$9:$G$100="Yes")*(35&gt;=Personnel!$E$9:$E$100)*((Personnel!$K$9:$K$100="")+(35&lt;=Personnel!$K$9:$K$100)&gt;0))</f>
        <v>7</v>
      </c>
      <c r="AN43" s="384" t="n">
        <f aca="false">SUMPRODUCT((Personnel!$P$9:$P$100="SUPER")*(Personnel!$G$9:$G$100="Yes")*(36&gt;=Personnel!$E$9:$E$100)*((Personnel!$K$9:$K$100="")+(36&lt;=Personnel!$K$9:$K$100)&gt;0))</f>
        <v>7</v>
      </c>
      <c r="AO43" s="384" t="n">
        <f aca="false">SUMPRODUCT((Personnel!$P$9:$P$100="SUPER")*(Personnel!$G$9:$G$100="Yes")*(37&gt;=Personnel!$E$9:$E$100)*((Personnel!$K$9:$K$100="")+(37&lt;=Personnel!$K$9:$K$100)&gt;0))</f>
        <v>7</v>
      </c>
      <c r="AP43" s="384" t="n">
        <f aca="false">SUMPRODUCT((Personnel!$P$9:$P$100="SUPER")*(Personnel!$G$9:$G$100="Yes")*(38&gt;=Personnel!$E$9:$E$100)*((Personnel!$K$9:$K$100="")+(38&lt;=Personnel!$K$9:$K$100)&gt;0))</f>
        <v>7</v>
      </c>
      <c r="AQ43" s="384" t="n">
        <f aca="false">SUMPRODUCT((Personnel!$P$9:$P$100="SUPER")*(Personnel!$G$9:$G$100="Yes")*(39&gt;=Personnel!$E$9:$E$100)*((Personnel!$K$9:$K$100="")+(39&lt;=Personnel!$K$9:$K$100)&gt;0))</f>
        <v>7</v>
      </c>
      <c r="AR43" s="384" t="n">
        <f aca="false">SUMPRODUCT((Personnel!$P$9:$P$100="SUPER")*(Personnel!$G$9:$G$100="Yes")*(40&gt;=Personnel!$E$9:$E$100)*((Personnel!$K$9:$K$100="")+(40&lt;=Personnel!$K$9:$K$100)&gt;0))</f>
        <v>7</v>
      </c>
      <c r="AS43" s="384" t="n">
        <f aca="false">SUMPRODUCT((Personnel!$P$9:$P$100="SUPER")*(Personnel!$G$9:$G$100="Yes")*(41&gt;=Personnel!$E$9:$E$100)*((Personnel!$K$9:$K$100="")+(41&lt;=Personnel!$K$9:$K$100)&gt;0))</f>
        <v>7</v>
      </c>
      <c r="AT43" s="384" t="n">
        <f aca="false">SUMPRODUCT((Personnel!$P$9:$P$100="SUPER")*(Personnel!$G$9:$G$100="Yes")*(42&gt;=Personnel!$E$9:$E$100)*((Personnel!$K$9:$K$100="")+(42&lt;=Personnel!$K$9:$K$100)&gt;0))</f>
        <v>7</v>
      </c>
      <c r="AU43" s="384" t="n">
        <f aca="false">SUMPRODUCT((Personnel!$P$9:$P$100="SUPER")*(Personnel!$G$9:$G$100="Yes")*(43&gt;=Personnel!$E$9:$E$100)*((Personnel!$K$9:$K$100="")+(43&lt;=Personnel!$K$9:$K$100)&gt;0))</f>
        <v>7</v>
      </c>
      <c r="AV43" s="384" t="n">
        <f aca="false">SUMPRODUCT((Personnel!$P$9:$P$100="SUPER")*(Personnel!$G$9:$G$100="Yes")*(44&gt;=Personnel!$E$9:$E$100)*((Personnel!$K$9:$K$100="")+(44&lt;=Personnel!$K$9:$K$100)&gt;0))</f>
        <v>7</v>
      </c>
      <c r="AW43" s="384" t="n">
        <f aca="false">SUMPRODUCT((Personnel!$P$9:$P$100="SUPER")*(Personnel!$G$9:$G$100="Yes")*(45&gt;=Personnel!$E$9:$E$100)*((Personnel!$K$9:$K$100="")+(45&lt;=Personnel!$K$9:$K$100)&gt;0))</f>
        <v>7</v>
      </c>
      <c r="AX43" s="384" t="n">
        <f aca="false">SUMPRODUCT((Personnel!$P$9:$P$100="SUPER")*(Personnel!$G$9:$G$100="Yes")*(46&gt;=Personnel!$E$9:$E$100)*((Personnel!$K$9:$K$100="")+(46&lt;=Personnel!$K$9:$K$100)&gt;0))</f>
        <v>7</v>
      </c>
      <c r="AY43" s="384" t="n">
        <f aca="false">SUMPRODUCT((Personnel!$P$9:$P$100="SUPER")*(Personnel!$G$9:$G$100="Yes")*(47&gt;=Personnel!$E$9:$E$100)*((Personnel!$K$9:$K$100="")+(47&lt;=Personnel!$K$9:$K$100)&gt;0))</f>
        <v>7</v>
      </c>
      <c r="AZ43" s="384" t="n">
        <f aca="false">SUMPRODUCT((Personnel!$P$9:$P$100="SUPER")*(Personnel!$G$9:$G$100="Yes")*(48&gt;=Personnel!$E$9:$E$100)*((Personnel!$K$9:$K$100="")+(48&lt;=Personnel!$K$9:$K$100)&gt;0))</f>
        <v>7</v>
      </c>
      <c r="BA43" s="384" t="n">
        <f aca="false">SUMPRODUCT((Personnel!$P$9:$P$100="SUPER")*(Personnel!$G$9:$G$100="Yes")*(49&gt;=Personnel!$E$9:$E$100)*((Personnel!$K$9:$K$100="")+(49&lt;=Personnel!$K$9:$K$100)&gt;0))</f>
        <v>7</v>
      </c>
      <c r="BB43" s="384" t="n">
        <f aca="false">SUMPRODUCT((Personnel!$P$9:$P$100="SUPER")*(Personnel!$G$9:$G$100="Yes")*(50&gt;=Personnel!$E$9:$E$100)*((Personnel!$K$9:$K$100="")+(50&lt;=Personnel!$K$9:$K$100)&gt;0))</f>
        <v>7</v>
      </c>
      <c r="BC43" s="384" t="n">
        <f aca="false">SUMPRODUCT((Personnel!$P$9:$P$100="SUPER")*(Personnel!$G$9:$G$100="Yes")*(51&gt;=Personnel!$E$9:$E$100)*((Personnel!$K$9:$K$100="")+(51&lt;=Personnel!$K$9:$K$100)&gt;0))</f>
        <v>7</v>
      </c>
      <c r="BD43" s="384" t="n">
        <f aca="false">SUMPRODUCT((Personnel!$P$9:$P$100="SUPER")*(Personnel!$G$9:$G$100="Yes")*(52&gt;=Personnel!$E$9:$E$100)*((Personnel!$K$9:$K$100="")+(52&lt;=Personnel!$K$9:$K$100)&gt;0))</f>
        <v>7</v>
      </c>
      <c r="BE43" s="384" t="n">
        <f aca="false">SUMPRODUCT((Personnel!$P$9:$P$100="SUPER")*(Personnel!$G$9:$G$100="Yes")*(53&gt;=Personnel!$E$9:$E$100)*((Personnel!$K$9:$K$100="")+(53&lt;=Personnel!$K$9:$K$100)&gt;0))</f>
        <v>7</v>
      </c>
      <c r="BF43" s="384" t="n">
        <f aca="false">SUMPRODUCT((Personnel!$P$9:$P$100="SUPER")*(Personnel!$G$9:$G$100="Yes")*(54&gt;=Personnel!$E$9:$E$100)*((Personnel!$K$9:$K$100="")+(54&lt;=Personnel!$K$9:$K$100)&gt;0))</f>
        <v>7</v>
      </c>
      <c r="BG43" s="384" t="n">
        <f aca="false">SUMPRODUCT((Personnel!$P$9:$P$100="SUPER")*(Personnel!$G$9:$G$100="Yes")*(55&gt;=Personnel!$E$9:$E$100)*((Personnel!$K$9:$K$100="")+(55&lt;=Personnel!$K$9:$K$100)&gt;0))</f>
        <v>7</v>
      </c>
      <c r="BH43" s="384" t="n">
        <f aca="false">SUMPRODUCT((Personnel!$P$9:$P$100="SUPER")*(Personnel!$G$9:$G$100="Yes")*(56&gt;=Personnel!$E$9:$E$100)*((Personnel!$K$9:$K$100="")+(56&lt;=Personnel!$K$9:$K$100)&gt;0))</f>
        <v>7</v>
      </c>
      <c r="BI43" s="384" t="n">
        <f aca="false">SUMPRODUCT((Personnel!$P$9:$P$100="SUPER")*(Personnel!$G$9:$G$100="Yes")*(57&gt;=Personnel!$E$9:$E$100)*((Personnel!$K$9:$K$100="")+(57&lt;=Personnel!$K$9:$K$100)&gt;0))</f>
        <v>7</v>
      </c>
      <c r="BJ43" s="384" t="n">
        <f aca="false">SUMPRODUCT((Personnel!$P$9:$P$100="SUPER")*(Personnel!$G$9:$G$100="Yes")*(58&gt;=Personnel!$E$9:$E$100)*((Personnel!$K$9:$K$100="")+(58&lt;=Personnel!$K$9:$K$100)&gt;0))</f>
        <v>7</v>
      </c>
      <c r="BK43" s="384" t="n">
        <f aca="false">SUMPRODUCT((Personnel!$P$9:$P$100="SUPER")*(Personnel!$G$9:$G$100="Yes")*(59&gt;=Personnel!$E$9:$E$100)*((Personnel!$K$9:$K$100="")+(59&lt;=Personnel!$K$9:$K$100)&gt;0))</f>
        <v>7</v>
      </c>
      <c r="BL43" s="384" t="n">
        <f aca="false">SUMPRODUCT((Personnel!$P$9:$P$100="SUPER")*(Personnel!$G$9:$G$100="Yes")*(60&gt;=Personnel!$E$9:$E$100)*((Personnel!$K$9:$K$100="")+(60&lt;=Personnel!$K$9:$K$100)&gt;0))</f>
        <v>7</v>
      </c>
      <c r="BM43" s="384" t="n">
        <f aca="false">SUMPRODUCT((Personnel!$P$9:$P$100="SUPER")*(Personnel!$G$9:$G$100="Yes")*(61&gt;=Personnel!$E$9:$E$100)*((Personnel!$K$9:$K$100="")+(61&lt;=Personnel!$K$9:$K$100)&gt;0))</f>
        <v>7</v>
      </c>
      <c r="BN43" s="384" t="n">
        <f aca="false">SUMPRODUCT((Personnel!$P$9:$P$100="SUPER")*(Personnel!$G$9:$G$100="Yes")*(62&gt;=Personnel!$E$9:$E$100)*((Personnel!$K$9:$K$100="")+(62&lt;=Personnel!$K$9:$K$100)&gt;0))</f>
        <v>7</v>
      </c>
      <c r="BO43" s="384" t="n">
        <f aca="false">SUMPRODUCT((Personnel!$P$9:$P$100="SUPER")*(Personnel!$G$9:$G$100="Yes")*(63&gt;=Personnel!$E$9:$E$100)*((Personnel!$K$9:$K$100="")+(63&lt;=Personnel!$K$9:$K$100)&gt;0))</f>
        <v>7</v>
      </c>
      <c r="BP43" s="384" t="n">
        <f aca="false">SUMPRODUCT((Personnel!$P$9:$P$100="SUPER")*(Personnel!$G$9:$G$100="Yes")*(64&gt;=Personnel!$E$9:$E$100)*((Personnel!$K$9:$K$100="")+(64&lt;=Personnel!$K$9:$K$100)&gt;0))</f>
        <v>7</v>
      </c>
      <c r="BQ43" s="384" t="n">
        <f aca="false">SUMPRODUCT((Personnel!$P$9:$P$100="SUPER")*(Personnel!$G$9:$G$100="Yes")*(65&gt;=Personnel!$E$9:$E$100)*((Personnel!$K$9:$K$100="")+(65&lt;=Personnel!$K$9:$K$100)&gt;0))</f>
        <v>7</v>
      </c>
      <c r="BR43" s="384" t="n">
        <f aca="false">SUMPRODUCT((Personnel!$P$9:$P$100="SUPER")*(Personnel!$G$9:$G$100="Yes")*(66&gt;=Personnel!$E$9:$E$100)*((Personnel!$K$9:$K$100="")+(66&lt;=Personnel!$K$9:$K$100)&gt;0))</f>
        <v>7</v>
      </c>
      <c r="BS43" s="384" t="n">
        <f aca="false">SUMPRODUCT((Personnel!$P$9:$P$100="SUPER")*(Personnel!$G$9:$G$100="Yes")*(67&gt;=Personnel!$E$9:$E$100)*((Personnel!$K$9:$K$100="")+(67&lt;=Personnel!$K$9:$K$100)&gt;0))</f>
        <v>7</v>
      </c>
      <c r="BT43" s="384" t="n">
        <f aca="false">SUMPRODUCT((Personnel!$P$9:$P$100="SUPER")*(Personnel!$G$9:$G$100="Yes")*(68&gt;=Personnel!$E$9:$E$100)*((Personnel!$K$9:$K$100="")+(68&lt;=Personnel!$K$9:$K$100)&gt;0))</f>
        <v>7</v>
      </c>
      <c r="BU43" s="384" t="n">
        <f aca="false">SUMPRODUCT((Personnel!$P$9:$P$100="SUPER")*(Personnel!$G$9:$G$100="Yes")*(69&gt;=Personnel!$E$9:$E$100)*((Personnel!$K$9:$K$100="")+(69&lt;=Personnel!$K$9:$K$100)&gt;0))</f>
        <v>7</v>
      </c>
      <c r="BV43" s="384" t="n">
        <f aca="false">SUMPRODUCT((Personnel!$P$9:$P$100="SUPER")*(Personnel!$G$9:$G$100="Yes")*(70&gt;=Personnel!$E$9:$E$100)*((Personnel!$K$9:$K$100="")+(70&lt;=Personnel!$K$9:$K$100)&gt;0))</f>
        <v>7</v>
      </c>
      <c r="BW43" s="384" t="n">
        <f aca="false">SUMPRODUCT((Personnel!$P$9:$P$100="SUPER")*(Personnel!$G$9:$G$100="Yes")*(71&gt;=Personnel!$E$9:$E$100)*((Personnel!$K$9:$K$100="")+(71&lt;=Personnel!$K$9:$K$100)&gt;0))</f>
        <v>7</v>
      </c>
      <c r="BX43" s="384" t="n">
        <f aca="false">SUMPRODUCT((Personnel!$P$9:$P$100="SUPER")*(Personnel!$G$9:$G$100="Yes")*(72&gt;=Personnel!$E$9:$E$100)*((Personnel!$K$9:$K$100="")+(72&lt;=Personnel!$K$9:$K$100)&gt;0))</f>
        <v>7</v>
      </c>
      <c r="BY43" s="384" t="n">
        <f aca="false">SUMPRODUCT((Personnel!$P$9:$P$100="SUPER")*(Personnel!$G$9:$G$100="Yes")*(73&gt;=Personnel!$E$9:$E$100)*((Personnel!$K$9:$K$100="")+(73&lt;=Personnel!$K$9:$K$100)&gt;0))</f>
        <v>7</v>
      </c>
      <c r="BZ43" s="384" t="n">
        <f aca="false">SUMPRODUCT((Personnel!$P$9:$P$100="SUPER")*(Personnel!$G$9:$G$100="Yes")*(74&gt;=Personnel!$E$9:$E$100)*((Personnel!$K$9:$K$100="")+(74&lt;=Personnel!$K$9:$K$100)&gt;0))</f>
        <v>7</v>
      </c>
      <c r="CA43" s="384" t="n">
        <f aca="false">SUMPRODUCT((Personnel!$P$9:$P$100="SUPER")*(Personnel!$G$9:$G$100="Yes")*(75&gt;=Personnel!$E$9:$E$100)*((Personnel!$K$9:$K$100="")+(75&lt;=Personnel!$K$9:$K$100)&gt;0))</f>
        <v>7</v>
      </c>
      <c r="CB43" s="384" t="n">
        <f aca="false">SUMPRODUCT((Personnel!$P$9:$P$100="SUPER")*(Personnel!$G$9:$G$100="Yes")*(76&gt;=Personnel!$E$9:$E$100)*((Personnel!$K$9:$K$100="")+(76&lt;=Personnel!$K$9:$K$100)&gt;0))</f>
        <v>7</v>
      </c>
      <c r="CC43" s="384" t="n">
        <f aca="false">SUMPRODUCT((Personnel!$P$9:$P$100="SUPER")*(Personnel!$G$9:$G$100="Yes")*(77&gt;=Personnel!$E$9:$E$100)*((Personnel!$K$9:$K$100="")+(77&lt;=Personnel!$K$9:$K$100)&gt;0))</f>
        <v>7</v>
      </c>
      <c r="CD43" s="384" t="n">
        <f aca="false">SUMPRODUCT((Personnel!$P$9:$P$100="SUPER")*(Personnel!$G$9:$G$100="Yes")*(78&gt;=Personnel!$E$9:$E$100)*((Personnel!$K$9:$K$100="")+(78&lt;=Personnel!$K$9:$K$100)&gt;0))</f>
        <v>7</v>
      </c>
      <c r="CE43" s="384" t="n">
        <f aca="false">SUMPRODUCT((Personnel!$P$9:$P$100="SUPER")*(Personnel!$G$9:$G$100="Yes")*(79&gt;=Personnel!$E$9:$E$100)*((Personnel!$K$9:$K$100="")+(79&lt;=Personnel!$K$9:$K$100)&gt;0))</f>
        <v>7</v>
      </c>
      <c r="CF43" s="384" t="n">
        <f aca="false">SUMPRODUCT((Personnel!$P$9:$P$100="SUPER")*(Personnel!$G$9:$G$100="Yes")*(80&gt;=Personnel!$E$9:$E$100)*((Personnel!$K$9:$K$100="")+(80&lt;=Personnel!$K$9:$K$100)&gt;0))</f>
        <v>7</v>
      </c>
      <c r="CG43" s="384" t="n">
        <f aca="false">SUMPRODUCT((Personnel!$P$9:$P$100="SUPER")*(Personnel!$G$9:$G$100="Yes")*(81&gt;=Personnel!$E$9:$E$100)*((Personnel!$K$9:$K$100="")+(81&lt;=Personnel!$K$9:$K$100)&gt;0))</f>
        <v>7</v>
      </c>
      <c r="CH43" s="384" t="n">
        <f aca="false">SUMPRODUCT((Personnel!$P$9:$P$100="SUPER")*(Personnel!$G$9:$G$100="Yes")*(82&gt;=Personnel!$E$9:$E$100)*((Personnel!$K$9:$K$100="")+(82&lt;=Personnel!$K$9:$K$100)&gt;0))</f>
        <v>7</v>
      </c>
      <c r="CI43" s="384" t="n">
        <f aca="false">SUMPRODUCT((Personnel!$P$9:$P$100="SUPER")*(Personnel!$G$9:$G$100="Yes")*(83&gt;=Personnel!$E$9:$E$100)*((Personnel!$K$9:$K$100="")+(83&lt;=Personnel!$K$9:$K$100)&gt;0))</f>
        <v>7</v>
      </c>
      <c r="CJ43" s="384" t="n">
        <f aca="false">SUMPRODUCT((Personnel!$P$9:$P$100="SUPER")*(Personnel!$G$9:$G$100="Yes")*(84&gt;=Personnel!$E$9:$E$100)*((Personnel!$K$9:$K$100="")+(84&lt;=Personnel!$K$9:$K$100)&gt;0))</f>
        <v>7</v>
      </c>
      <c r="CK43" s="384" t="n">
        <f aca="false">SUMPRODUCT((Personnel!$P$9:$P$100="SUPER")*(Personnel!$G$9:$G$100="Yes")*(85&gt;=Personnel!$E$9:$E$100)*((Personnel!$K$9:$K$100="")+(85&lt;=Personnel!$K$9:$K$100)&gt;0))</f>
        <v>7</v>
      </c>
      <c r="CL43" s="384" t="n">
        <f aca="false">SUMPRODUCT((Personnel!$P$9:$P$100="SUPER")*(Personnel!$G$9:$G$100="Yes")*(86&gt;=Personnel!$E$9:$E$100)*((Personnel!$K$9:$K$100="")+(86&lt;=Personnel!$K$9:$K$100)&gt;0))</f>
        <v>7</v>
      </c>
      <c r="CM43" s="384" t="n">
        <f aca="false">SUMPRODUCT((Personnel!$P$9:$P$100="SUPER")*(Personnel!$G$9:$G$100="Yes")*(87&gt;=Personnel!$E$9:$E$100)*((Personnel!$K$9:$K$100="")+(87&lt;=Personnel!$K$9:$K$100)&gt;0))</f>
        <v>7</v>
      </c>
      <c r="CN43" s="384" t="n">
        <f aca="false">SUMPRODUCT((Personnel!$P$9:$P$100="SUPER")*(Personnel!$G$9:$G$100="Yes")*(88&gt;=Personnel!$E$9:$E$100)*((Personnel!$K$9:$K$100="")+(88&lt;=Personnel!$K$9:$K$100)&gt;0))</f>
        <v>7</v>
      </c>
      <c r="CO43" s="384" t="n">
        <f aca="false">SUMPRODUCT((Personnel!$P$9:$P$100="SUPER")*(Personnel!$G$9:$G$100="Yes")*(89&gt;=Personnel!$E$9:$E$100)*((Personnel!$K$9:$K$100="")+(89&lt;=Personnel!$K$9:$K$100)&gt;0))</f>
        <v>7</v>
      </c>
      <c r="CP43" s="384" t="n">
        <f aca="false">SUMPRODUCT((Personnel!$P$9:$P$100="SUPER")*(Personnel!$G$9:$G$100="Yes")*(90&gt;=Personnel!$E$9:$E$100)*((Personnel!$K$9:$K$100="")+(90&lt;=Personnel!$K$9:$K$100)&gt;0))</f>
        <v>7</v>
      </c>
      <c r="CQ43" s="384" t="n">
        <f aca="false">SUMPRODUCT((Personnel!$P$9:$P$100="SUPER")*(Personnel!$G$9:$G$100="Yes")*(91&gt;=Personnel!$E$9:$E$100)*((Personnel!$K$9:$K$100="")+(91&lt;=Personnel!$K$9:$K$100)&gt;0))</f>
        <v>7</v>
      </c>
      <c r="CR43" s="384" t="n">
        <f aca="false">SUMPRODUCT((Personnel!$P$9:$P$100="SUPER")*(Personnel!$G$9:$G$100="Yes")*(92&gt;=Personnel!$E$9:$E$100)*((Personnel!$K$9:$K$100="")+(92&lt;=Personnel!$K$9:$K$100)&gt;0))</f>
        <v>7</v>
      </c>
      <c r="CS43" s="384" t="n">
        <f aca="false">SUMPRODUCT((Personnel!$P$9:$P$100="SUPER")*(Personnel!$G$9:$G$100="Yes")*(93&gt;=Personnel!$E$9:$E$100)*((Personnel!$K$9:$K$100="")+(93&lt;=Personnel!$K$9:$K$100)&gt;0))</f>
        <v>7</v>
      </c>
      <c r="CT43" s="384" t="n">
        <f aca="false">SUMPRODUCT((Personnel!$P$9:$P$100="SUPER")*(Personnel!$G$9:$G$100="Yes")*(94&gt;=Personnel!$E$9:$E$100)*((Personnel!$K$9:$K$100="")+(94&lt;=Personnel!$K$9:$K$100)&gt;0))</f>
        <v>7</v>
      </c>
      <c r="CU43" s="384" t="n">
        <f aca="false">SUMPRODUCT((Personnel!$P$9:$P$100="SUPER")*(Personnel!$G$9:$G$100="Yes")*(95&gt;=Personnel!$E$9:$E$100)*((Personnel!$K$9:$K$100="")+(95&lt;=Personnel!$K$9:$K$100)&gt;0))</f>
        <v>7</v>
      </c>
      <c r="CV43" s="384" t="n">
        <f aca="false">SUMPRODUCT((Personnel!$P$9:$P$100="SUPER")*(Personnel!$G$9:$G$100="Yes")*(96&gt;=Personnel!$E$9:$E$100)*((Personnel!$K$9:$K$100="")+(96&lt;=Personnel!$K$9:$K$100)&gt;0))</f>
        <v>7</v>
      </c>
      <c r="CW43" s="384" t="n">
        <f aca="false">SUMPRODUCT((Personnel!$P$9:$P$100="SUPER")*(Personnel!$G$9:$G$100="Yes")*(97&gt;=Personnel!$E$9:$E$100)*((Personnel!$K$9:$K$100="")+(97&lt;=Personnel!$K$9:$K$100)&gt;0))</f>
        <v>7</v>
      </c>
      <c r="CX43" s="384" t="n">
        <f aca="false">SUMPRODUCT((Personnel!$P$9:$P$100="SUPER")*(Personnel!$G$9:$G$100="Yes")*(98&gt;=Personnel!$E$9:$E$100)*((Personnel!$K$9:$K$100="")+(98&lt;=Personnel!$K$9:$K$100)&gt;0))</f>
        <v>7</v>
      </c>
      <c r="CY43" s="384" t="n">
        <f aca="false">SUMPRODUCT((Personnel!$P$9:$P$100="SUPER")*(Personnel!$G$9:$G$100="Yes")*(99&gt;=Personnel!$E$9:$E$100)*((Personnel!$K$9:$K$100="")+(99&lt;=Personnel!$K$9:$K$100)&gt;0))</f>
        <v>7</v>
      </c>
      <c r="CZ43" s="384" t="n">
        <f aca="false">SUMPRODUCT((Personnel!$P$9:$P$100="SUPER")*(Personnel!$G$9:$G$100="Yes")*(100&gt;=Personnel!$E$9:$E$100)*((Personnel!$K$9:$K$100="")+(100&lt;=Personnel!$K$9:$K$100)&gt;0))</f>
        <v>7</v>
      </c>
      <c r="DA43" s="384" t="n">
        <f aca="false">SUMPRODUCT((Personnel!$P$9:$P$100="SUPER")*(Personnel!$G$9:$G$100="Yes")*(101&gt;=Personnel!$E$9:$E$100)*((Personnel!$K$9:$K$100="")+(101&lt;=Personnel!$K$9:$K$100)&gt;0))</f>
        <v>7</v>
      </c>
      <c r="DB43" s="384" t="n">
        <f aca="false">SUMPRODUCT((Personnel!$P$9:$P$100="SUPER")*(Personnel!$G$9:$G$100="Yes")*(102&gt;=Personnel!$E$9:$E$100)*((Personnel!$K$9:$K$100="")+(102&lt;=Personnel!$K$9:$K$100)&gt;0))</f>
        <v>7</v>
      </c>
      <c r="DC43" s="384" t="n">
        <f aca="false">SUMPRODUCT((Personnel!$P$9:$P$100="SUPER")*(Personnel!$G$9:$G$100="Yes")*(103&gt;=Personnel!$E$9:$E$100)*((Personnel!$K$9:$K$100="")+(103&lt;=Personnel!$K$9:$K$100)&gt;0))</f>
        <v>7</v>
      </c>
      <c r="DD43" s="384" t="n">
        <f aca="false">SUMPRODUCT((Personnel!$P$9:$P$100="SUPER")*(Personnel!$G$9:$G$100="Yes")*(104&gt;=Personnel!$E$9:$E$100)*((Personnel!$K$9:$K$100="")+(104&lt;=Personnel!$K$9:$K$100)&gt;0))</f>
        <v>7</v>
      </c>
      <c r="DE43" s="384" t="n">
        <f aca="false">SUMPRODUCT((Personnel!$P$9:$P$100="SUPER")*(Personnel!$G$9:$G$100="Yes")*(105&gt;=Personnel!$E$9:$E$100)*((Personnel!$K$9:$K$100="")+(105&lt;=Personnel!$K$9:$K$100)&gt;0))</f>
        <v>7</v>
      </c>
    </row>
    <row r="44" customFormat="false" ht="13.5" hidden="false" customHeight="true" outlineLevel="0" collapsed="false">
      <c r="A44" s="110" t="s">
        <v>1381</v>
      </c>
      <c r="E44" s="384" t="n">
        <f aca="false">SUMPRODUCT((Personnel!$P$9:$P$100="APM")*(Personnel!$G$9:$G$100="Yes")*(1&gt;=Personnel!$E$9:$E$100)*((Personnel!$K$9:$K$100="")+(1&lt;=Personnel!$K$9:$K$100)&gt;0))</f>
        <v>1</v>
      </c>
      <c r="F44" s="384" t="n">
        <f aca="false">SUMPRODUCT((Personnel!$P$9:$P$100="APM")*(Personnel!$G$9:$G$100="Yes")*(2&gt;=Personnel!$E$9:$E$100)*((Personnel!$K$9:$K$100="")+(2&lt;=Personnel!$K$9:$K$100)&gt;0))</f>
        <v>2</v>
      </c>
      <c r="G44" s="384" t="n">
        <f aca="false">SUMPRODUCT((Personnel!$P$9:$P$100="APM")*(Personnel!$G$9:$G$100="Yes")*(3&gt;=Personnel!$E$9:$E$100)*((Personnel!$K$9:$K$100="")+(3&lt;=Personnel!$K$9:$K$100)&gt;0))</f>
        <v>2</v>
      </c>
      <c r="H44" s="384" t="n">
        <f aca="false">SUMPRODUCT((Personnel!$P$9:$P$100="APM")*(Personnel!$G$9:$G$100="Yes")*(4&gt;=Personnel!$E$9:$E$100)*((Personnel!$K$9:$K$100="")+(4&lt;=Personnel!$K$9:$K$100)&gt;0))</f>
        <v>2</v>
      </c>
      <c r="I44" s="384" t="n">
        <f aca="false">SUMPRODUCT((Personnel!$P$9:$P$100="APM")*(Personnel!$G$9:$G$100="Yes")*(5&gt;=Personnel!$E$9:$E$100)*((Personnel!$K$9:$K$100="")+(5&lt;=Personnel!$K$9:$K$100)&gt;0))</f>
        <v>1</v>
      </c>
      <c r="J44" s="384" t="n">
        <f aca="false">SUMPRODUCT((Personnel!$P$9:$P$100="APM")*(Personnel!$G$9:$G$100="Yes")*(6&gt;=Personnel!$E$9:$E$100)*((Personnel!$K$9:$K$100="")+(6&lt;=Personnel!$K$9:$K$100)&gt;0))</f>
        <v>2</v>
      </c>
      <c r="K44" s="384" t="n">
        <f aca="false">SUMPRODUCT((Personnel!$P$9:$P$100="APM")*(Personnel!$G$9:$G$100="Yes")*(7&gt;=Personnel!$E$9:$E$100)*((Personnel!$K$9:$K$100="")+(7&lt;=Personnel!$K$9:$K$100)&gt;0))</f>
        <v>2</v>
      </c>
      <c r="L44" s="384" t="n">
        <f aca="false">SUMPRODUCT((Personnel!$P$9:$P$100="APM")*(Personnel!$G$9:$G$100="Yes")*(8&gt;=Personnel!$E$9:$E$100)*((Personnel!$K$9:$K$100="")+(8&lt;=Personnel!$K$9:$K$100)&gt;0))</f>
        <v>2</v>
      </c>
      <c r="M44" s="384" t="n">
        <f aca="false">SUMPRODUCT((Personnel!$P$9:$P$100="APM")*(Personnel!$G$9:$G$100="Yes")*(9&gt;=Personnel!$E$9:$E$100)*((Personnel!$K$9:$K$100="")+(9&lt;=Personnel!$K$9:$K$100)&gt;0))</f>
        <v>2</v>
      </c>
      <c r="N44" s="384" t="n">
        <f aca="false">SUMPRODUCT((Personnel!$P$9:$P$100="APM")*(Personnel!$G$9:$G$100="Yes")*(10&gt;=Personnel!$E$9:$E$100)*((Personnel!$K$9:$K$100="")+(10&lt;=Personnel!$K$9:$K$100)&gt;0))</f>
        <v>2</v>
      </c>
      <c r="O44" s="384" t="n">
        <f aca="false">SUMPRODUCT((Personnel!$P$9:$P$100="APM")*(Personnel!$G$9:$G$100="Yes")*(11&gt;=Personnel!$E$9:$E$100)*((Personnel!$K$9:$K$100="")+(11&lt;=Personnel!$K$9:$K$100)&gt;0))</f>
        <v>2</v>
      </c>
      <c r="P44" s="384" t="n">
        <f aca="false">SUMPRODUCT((Personnel!$P$9:$P$100="APM")*(Personnel!$G$9:$G$100="Yes")*(12&gt;=Personnel!$E$9:$E$100)*((Personnel!$K$9:$K$100="")+(12&lt;=Personnel!$K$9:$K$100)&gt;0))</f>
        <v>2</v>
      </c>
      <c r="Q44" s="384" t="n">
        <f aca="false">SUMPRODUCT((Personnel!$P$9:$P$100="APM")*(Personnel!$G$9:$G$100="Yes")*(13&gt;=Personnel!$E$9:$E$100)*((Personnel!$K$9:$K$100="")+(13&lt;=Personnel!$K$9:$K$100)&gt;0))</f>
        <v>2</v>
      </c>
      <c r="R44" s="384" t="n">
        <f aca="false">SUMPRODUCT((Personnel!$P$9:$P$100="APM")*(Personnel!$G$9:$G$100="Yes")*(14&gt;=Personnel!$E$9:$E$100)*((Personnel!$K$9:$K$100="")+(14&lt;=Personnel!$K$9:$K$100)&gt;0))</f>
        <v>2</v>
      </c>
      <c r="S44" s="384" t="n">
        <f aca="false">SUMPRODUCT((Personnel!$P$9:$P$100="APM")*(Personnel!$G$9:$G$100="Yes")*(15&gt;=Personnel!$E$9:$E$100)*((Personnel!$K$9:$K$100="")+(15&lt;=Personnel!$K$9:$K$100)&gt;0))</f>
        <v>2</v>
      </c>
      <c r="T44" s="384" t="n">
        <f aca="false">SUMPRODUCT((Personnel!$P$9:$P$100="APM")*(Personnel!$G$9:$G$100="Yes")*(16&gt;=Personnel!$E$9:$E$100)*((Personnel!$K$9:$K$100="")+(16&lt;=Personnel!$K$9:$K$100)&gt;0))</f>
        <v>2</v>
      </c>
      <c r="U44" s="384" t="n">
        <f aca="false">SUMPRODUCT((Personnel!$P$9:$P$100="APM")*(Personnel!$G$9:$G$100="Yes")*(17&gt;=Personnel!$E$9:$E$100)*((Personnel!$K$9:$K$100="")+(17&lt;=Personnel!$K$9:$K$100)&gt;0))</f>
        <v>2</v>
      </c>
      <c r="V44" s="384" t="n">
        <f aca="false">SUMPRODUCT((Personnel!$P$9:$P$100="APM")*(Personnel!$G$9:$G$100="Yes")*(18&gt;=Personnel!$E$9:$E$100)*((Personnel!$K$9:$K$100="")+(18&lt;=Personnel!$K$9:$K$100)&gt;0))</f>
        <v>2</v>
      </c>
      <c r="W44" s="384" t="n">
        <f aca="false">SUMPRODUCT((Personnel!$P$9:$P$100="APM")*(Personnel!$G$9:$G$100="Yes")*(19&gt;=Personnel!$E$9:$E$100)*((Personnel!$K$9:$K$100="")+(19&lt;=Personnel!$K$9:$K$100)&gt;0))</f>
        <v>2</v>
      </c>
      <c r="X44" s="384" t="n">
        <f aca="false">SUMPRODUCT((Personnel!$P$9:$P$100="APM")*(Personnel!$G$9:$G$100="Yes")*(20&gt;=Personnel!$E$9:$E$100)*((Personnel!$K$9:$K$100="")+(20&lt;=Personnel!$K$9:$K$100)&gt;0))</f>
        <v>2</v>
      </c>
      <c r="Y44" s="384" t="n">
        <f aca="false">SUMPRODUCT((Personnel!$P$9:$P$100="APM")*(Personnel!$G$9:$G$100="Yes")*(21&gt;=Personnel!$E$9:$E$100)*((Personnel!$K$9:$K$100="")+(21&lt;=Personnel!$K$9:$K$100)&gt;0))</f>
        <v>2</v>
      </c>
      <c r="Z44" s="384" t="n">
        <f aca="false">SUMPRODUCT((Personnel!$P$9:$P$100="APM")*(Personnel!$G$9:$G$100="Yes")*(22&gt;=Personnel!$E$9:$E$100)*((Personnel!$K$9:$K$100="")+(22&lt;=Personnel!$K$9:$K$100)&gt;0))</f>
        <v>2</v>
      </c>
      <c r="AA44" s="384" t="n">
        <f aca="false">SUMPRODUCT((Personnel!$P$9:$P$100="APM")*(Personnel!$G$9:$G$100="Yes")*(23&gt;=Personnel!$E$9:$E$100)*((Personnel!$K$9:$K$100="")+(23&lt;=Personnel!$K$9:$K$100)&gt;0))</f>
        <v>2</v>
      </c>
      <c r="AB44" s="384" t="n">
        <f aca="false">SUMPRODUCT((Personnel!$P$9:$P$100="APM")*(Personnel!$G$9:$G$100="Yes")*(24&gt;=Personnel!$E$9:$E$100)*((Personnel!$K$9:$K$100="")+(24&lt;=Personnel!$K$9:$K$100)&gt;0))</f>
        <v>2</v>
      </c>
      <c r="AC44" s="384" t="n">
        <f aca="false">SUMPRODUCT((Personnel!$P$9:$P$100="APM")*(Personnel!$G$9:$G$100="Yes")*(25&gt;=Personnel!$E$9:$E$100)*((Personnel!$K$9:$K$100="")+(25&lt;=Personnel!$K$9:$K$100)&gt;0))</f>
        <v>2</v>
      </c>
      <c r="AD44" s="384" t="n">
        <f aca="false">SUMPRODUCT((Personnel!$P$9:$P$100="APM")*(Personnel!$G$9:$G$100="Yes")*(26&gt;=Personnel!$E$9:$E$100)*((Personnel!$K$9:$K$100="")+(26&lt;=Personnel!$K$9:$K$100)&gt;0))</f>
        <v>2</v>
      </c>
      <c r="AE44" s="384" t="n">
        <f aca="false">SUMPRODUCT((Personnel!$P$9:$P$100="APM")*(Personnel!$G$9:$G$100="Yes")*(27&gt;=Personnel!$E$9:$E$100)*((Personnel!$K$9:$K$100="")+(27&lt;=Personnel!$K$9:$K$100)&gt;0))</f>
        <v>2</v>
      </c>
      <c r="AF44" s="384" t="n">
        <f aca="false">SUMPRODUCT((Personnel!$P$9:$P$100="APM")*(Personnel!$G$9:$G$100="Yes")*(28&gt;=Personnel!$E$9:$E$100)*((Personnel!$K$9:$K$100="")+(28&lt;=Personnel!$K$9:$K$100)&gt;0))</f>
        <v>2</v>
      </c>
      <c r="AG44" s="384" t="n">
        <f aca="false">SUMPRODUCT((Personnel!$P$9:$P$100="APM")*(Personnel!$G$9:$G$100="Yes")*(29&gt;=Personnel!$E$9:$E$100)*((Personnel!$K$9:$K$100="")+(29&lt;=Personnel!$K$9:$K$100)&gt;0))</f>
        <v>2</v>
      </c>
      <c r="AH44" s="384" t="n">
        <f aca="false">SUMPRODUCT((Personnel!$P$9:$P$100="APM")*(Personnel!$G$9:$G$100="Yes")*(30&gt;=Personnel!$E$9:$E$100)*((Personnel!$K$9:$K$100="")+(30&lt;=Personnel!$K$9:$K$100)&gt;0))</f>
        <v>2</v>
      </c>
      <c r="AI44" s="384" t="n">
        <f aca="false">SUMPRODUCT((Personnel!$P$9:$P$100="APM")*(Personnel!$G$9:$G$100="Yes")*(31&gt;=Personnel!$E$9:$E$100)*((Personnel!$K$9:$K$100="")+(31&lt;=Personnel!$K$9:$K$100)&gt;0))</f>
        <v>2</v>
      </c>
      <c r="AJ44" s="384" t="n">
        <f aca="false">SUMPRODUCT((Personnel!$P$9:$P$100="APM")*(Personnel!$G$9:$G$100="Yes")*(32&gt;=Personnel!$E$9:$E$100)*((Personnel!$K$9:$K$100="")+(32&lt;=Personnel!$K$9:$K$100)&gt;0))</f>
        <v>2</v>
      </c>
      <c r="AK44" s="384" t="n">
        <f aca="false">SUMPRODUCT((Personnel!$P$9:$P$100="APM")*(Personnel!$G$9:$G$100="Yes")*(33&gt;=Personnel!$E$9:$E$100)*((Personnel!$K$9:$K$100="")+(33&lt;=Personnel!$K$9:$K$100)&gt;0))</f>
        <v>2</v>
      </c>
      <c r="AL44" s="384" t="n">
        <f aca="false">SUMPRODUCT((Personnel!$P$9:$P$100="APM")*(Personnel!$G$9:$G$100="Yes")*(34&gt;=Personnel!$E$9:$E$100)*((Personnel!$K$9:$K$100="")+(34&lt;=Personnel!$K$9:$K$100)&gt;0))</f>
        <v>2</v>
      </c>
      <c r="AM44" s="384" t="n">
        <f aca="false">SUMPRODUCT((Personnel!$P$9:$P$100="APM")*(Personnel!$G$9:$G$100="Yes")*(35&gt;=Personnel!$E$9:$E$100)*((Personnel!$K$9:$K$100="")+(35&lt;=Personnel!$K$9:$K$100)&gt;0))</f>
        <v>2</v>
      </c>
      <c r="AN44" s="384" t="n">
        <f aca="false">SUMPRODUCT((Personnel!$P$9:$P$100="APM")*(Personnel!$G$9:$G$100="Yes")*(36&gt;=Personnel!$E$9:$E$100)*((Personnel!$K$9:$K$100="")+(36&lt;=Personnel!$K$9:$K$100)&gt;0))</f>
        <v>2</v>
      </c>
      <c r="AO44" s="384" t="n">
        <f aca="false">SUMPRODUCT((Personnel!$P$9:$P$100="APM")*(Personnel!$G$9:$G$100="Yes")*(37&gt;=Personnel!$E$9:$E$100)*((Personnel!$K$9:$K$100="")+(37&lt;=Personnel!$K$9:$K$100)&gt;0))</f>
        <v>2</v>
      </c>
      <c r="AP44" s="384" t="n">
        <f aca="false">SUMPRODUCT((Personnel!$P$9:$P$100="APM")*(Personnel!$G$9:$G$100="Yes")*(38&gt;=Personnel!$E$9:$E$100)*((Personnel!$K$9:$K$100="")+(38&lt;=Personnel!$K$9:$K$100)&gt;0))</f>
        <v>2</v>
      </c>
      <c r="AQ44" s="384" t="n">
        <f aca="false">SUMPRODUCT((Personnel!$P$9:$P$100="APM")*(Personnel!$G$9:$G$100="Yes")*(39&gt;=Personnel!$E$9:$E$100)*((Personnel!$K$9:$K$100="")+(39&lt;=Personnel!$K$9:$K$100)&gt;0))</f>
        <v>2</v>
      </c>
      <c r="AR44" s="384" t="n">
        <f aca="false">SUMPRODUCT((Personnel!$P$9:$P$100="APM")*(Personnel!$G$9:$G$100="Yes")*(40&gt;=Personnel!$E$9:$E$100)*((Personnel!$K$9:$K$100="")+(40&lt;=Personnel!$K$9:$K$100)&gt;0))</f>
        <v>2</v>
      </c>
      <c r="AS44" s="384" t="n">
        <f aca="false">SUMPRODUCT((Personnel!$P$9:$P$100="APM")*(Personnel!$G$9:$G$100="Yes")*(41&gt;=Personnel!$E$9:$E$100)*((Personnel!$K$9:$K$100="")+(41&lt;=Personnel!$K$9:$K$100)&gt;0))</f>
        <v>2</v>
      </c>
      <c r="AT44" s="384" t="n">
        <f aca="false">SUMPRODUCT((Personnel!$P$9:$P$100="APM")*(Personnel!$G$9:$G$100="Yes")*(42&gt;=Personnel!$E$9:$E$100)*((Personnel!$K$9:$K$100="")+(42&lt;=Personnel!$K$9:$K$100)&gt;0))</f>
        <v>2</v>
      </c>
      <c r="AU44" s="384" t="n">
        <f aca="false">SUMPRODUCT((Personnel!$P$9:$P$100="APM")*(Personnel!$G$9:$G$100="Yes")*(43&gt;=Personnel!$E$9:$E$100)*((Personnel!$K$9:$K$100="")+(43&lt;=Personnel!$K$9:$K$100)&gt;0))</f>
        <v>2</v>
      </c>
      <c r="AV44" s="384" t="n">
        <f aca="false">SUMPRODUCT((Personnel!$P$9:$P$100="APM")*(Personnel!$G$9:$G$100="Yes")*(44&gt;=Personnel!$E$9:$E$100)*((Personnel!$K$9:$K$100="")+(44&lt;=Personnel!$K$9:$K$100)&gt;0))</f>
        <v>2</v>
      </c>
      <c r="AW44" s="384" t="n">
        <f aca="false">SUMPRODUCT((Personnel!$P$9:$P$100="APM")*(Personnel!$G$9:$G$100="Yes")*(45&gt;=Personnel!$E$9:$E$100)*((Personnel!$K$9:$K$100="")+(45&lt;=Personnel!$K$9:$K$100)&gt;0))</f>
        <v>2</v>
      </c>
      <c r="AX44" s="384" t="n">
        <f aca="false">SUMPRODUCT((Personnel!$P$9:$P$100="APM")*(Personnel!$G$9:$G$100="Yes")*(46&gt;=Personnel!$E$9:$E$100)*((Personnel!$K$9:$K$100="")+(46&lt;=Personnel!$K$9:$K$100)&gt;0))</f>
        <v>2</v>
      </c>
      <c r="AY44" s="384" t="n">
        <f aca="false">SUMPRODUCT((Personnel!$P$9:$P$100="APM")*(Personnel!$G$9:$G$100="Yes")*(47&gt;=Personnel!$E$9:$E$100)*((Personnel!$K$9:$K$100="")+(47&lt;=Personnel!$K$9:$K$100)&gt;0))</f>
        <v>2</v>
      </c>
      <c r="AZ44" s="384" t="n">
        <f aca="false">SUMPRODUCT((Personnel!$P$9:$P$100="APM")*(Personnel!$G$9:$G$100="Yes")*(48&gt;=Personnel!$E$9:$E$100)*((Personnel!$K$9:$K$100="")+(48&lt;=Personnel!$K$9:$K$100)&gt;0))</f>
        <v>2</v>
      </c>
      <c r="BA44" s="384" t="n">
        <f aca="false">SUMPRODUCT((Personnel!$P$9:$P$100="APM")*(Personnel!$G$9:$G$100="Yes")*(49&gt;=Personnel!$E$9:$E$100)*((Personnel!$K$9:$K$100="")+(49&lt;=Personnel!$K$9:$K$100)&gt;0))</f>
        <v>2</v>
      </c>
      <c r="BB44" s="384" t="n">
        <f aca="false">SUMPRODUCT((Personnel!$P$9:$P$100="APM")*(Personnel!$G$9:$G$100="Yes")*(50&gt;=Personnel!$E$9:$E$100)*((Personnel!$K$9:$K$100="")+(50&lt;=Personnel!$K$9:$K$100)&gt;0))</f>
        <v>2</v>
      </c>
      <c r="BC44" s="384" t="n">
        <f aca="false">SUMPRODUCT((Personnel!$P$9:$P$100="APM")*(Personnel!$G$9:$G$100="Yes")*(51&gt;=Personnel!$E$9:$E$100)*((Personnel!$K$9:$K$100="")+(51&lt;=Personnel!$K$9:$K$100)&gt;0))</f>
        <v>2</v>
      </c>
      <c r="BD44" s="384" t="n">
        <f aca="false">SUMPRODUCT((Personnel!$P$9:$P$100="APM")*(Personnel!$G$9:$G$100="Yes")*(52&gt;=Personnel!$E$9:$E$100)*((Personnel!$K$9:$K$100="")+(52&lt;=Personnel!$K$9:$K$100)&gt;0))</f>
        <v>2</v>
      </c>
      <c r="BE44" s="384" t="n">
        <f aca="false">SUMPRODUCT((Personnel!$P$9:$P$100="APM")*(Personnel!$G$9:$G$100="Yes")*(53&gt;=Personnel!$E$9:$E$100)*((Personnel!$K$9:$K$100="")+(53&lt;=Personnel!$K$9:$K$100)&gt;0))</f>
        <v>2</v>
      </c>
      <c r="BF44" s="384" t="n">
        <f aca="false">SUMPRODUCT((Personnel!$P$9:$P$100="APM")*(Personnel!$G$9:$G$100="Yes")*(54&gt;=Personnel!$E$9:$E$100)*((Personnel!$K$9:$K$100="")+(54&lt;=Personnel!$K$9:$K$100)&gt;0))</f>
        <v>2</v>
      </c>
      <c r="BG44" s="384" t="n">
        <f aca="false">SUMPRODUCT((Personnel!$P$9:$P$100="APM")*(Personnel!$G$9:$G$100="Yes")*(55&gt;=Personnel!$E$9:$E$100)*((Personnel!$K$9:$K$100="")+(55&lt;=Personnel!$K$9:$K$100)&gt;0))</f>
        <v>2</v>
      </c>
      <c r="BH44" s="384" t="n">
        <f aca="false">SUMPRODUCT((Personnel!$P$9:$P$100="APM")*(Personnel!$G$9:$G$100="Yes")*(56&gt;=Personnel!$E$9:$E$100)*((Personnel!$K$9:$K$100="")+(56&lt;=Personnel!$K$9:$K$100)&gt;0))</f>
        <v>2</v>
      </c>
      <c r="BI44" s="384" t="n">
        <f aca="false">SUMPRODUCT((Personnel!$P$9:$P$100="APM")*(Personnel!$G$9:$G$100="Yes")*(57&gt;=Personnel!$E$9:$E$100)*((Personnel!$K$9:$K$100="")+(57&lt;=Personnel!$K$9:$K$100)&gt;0))</f>
        <v>2</v>
      </c>
      <c r="BJ44" s="384" t="n">
        <f aca="false">SUMPRODUCT((Personnel!$P$9:$P$100="APM")*(Personnel!$G$9:$G$100="Yes")*(58&gt;=Personnel!$E$9:$E$100)*((Personnel!$K$9:$K$100="")+(58&lt;=Personnel!$K$9:$K$100)&gt;0))</f>
        <v>2</v>
      </c>
      <c r="BK44" s="384" t="n">
        <f aca="false">SUMPRODUCT((Personnel!$P$9:$P$100="APM")*(Personnel!$G$9:$G$100="Yes")*(59&gt;=Personnel!$E$9:$E$100)*((Personnel!$K$9:$K$100="")+(59&lt;=Personnel!$K$9:$K$100)&gt;0))</f>
        <v>2</v>
      </c>
      <c r="BL44" s="384" t="n">
        <f aca="false">SUMPRODUCT((Personnel!$P$9:$P$100="APM")*(Personnel!$G$9:$G$100="Yes")*(60&gt;=Personnel!$E$9:$E$100)*((Personnel!$K$9:$K$100="")+(60&lt;=Personnel!$K$9:$K$100)&gt;0))</f>
        <v>2</v>
      </c>
      <c r="BM44" s="384" t="n">
        <f aca="false">SUMPRODUCT((Personnel!$P$9:$P$100="APM")*(Personnel!$G$9:$G$100="Yes")*(61&gt;=Personnel!$E$9:$E$100)*((Personnel!$K$9:$K$100="")+(61&lt;=Personnel!$K$9:$K$100)&gt;0))</f>
        <v>2</v>
      </c>
      <c r="BN44" s="384" t="n">
        <f aca="false">SUMPRODUCT((Personnel!$P$9:$P$100="APM")*(Personnel!$G$9:$G$100="Yes")*(62&gt;=Personnel!$E$9:$E$100)*((Personnel!$K$9:$K$100="")+(62&lt;=Personnel!$K$9:$K$100)&gt;0))</f>
        <v>2</v>
      </c>
      <c r="BO44" s="384" t="n">
        <f aca="false">SUMPRODUCT((Personnel!$P$9:$P$100="APM")*(Personnel!$G$9:$G$100="Yes")*(63&gt;=Personnel!$E$9:$E$100)*((Personnel!$K$9:$K$100="")+(63&lt;=Personnel!$K$9:$K$100)&gt;0))</f>
        <v>2</v>
      </c>
      <c r="BP44" s="384" t="n">
        <f aca="false">SUMPRODUCT((Personnel!$P$9:$P$100="APM")*(Personnel!$G$9:$G$100="Yes")*(64&gt;=Personnel!$E$9:$E$100)*((Personnel!$K$9:$K$100="")+(64&lt;=Personnel!$K$9:$K$100)&gt;0))</f>
        <v>2</v>
      </c>
      <c r="BQ44" s="384" t="n">
        <f aca="false">SUMPRODUCT((Personnel!$P$9:$P$100="APM")*(Personnel!$G$9:$G$100="Yes")*(65&gt;=Personnel!$E$9:$E$100)*((Personnel!$K$9:$K$100="")+(65&lt;=Personnel!$K$9:$K$100)&gt;0))</f>
        <v>2</v>
      </c>
      <c r="BR44" s="384" t="n">
        <f aca="false">SUMPRODUCT((Personnel!$P$9:$P$100="APM")*(Personnel!$G$9:$G$100="Yes")*(66&gt;=Personnel!$E$9:$E$100)*((Personnel!$K$9:$K$100="")+(66&lt;=Personnel!$K$9:$K$100)&gt;0))</f>
        <v>2</v>
      </c>
      <c r="BS44" s="384" t="n">
        <f aca="false">SUMPRODUCT((Personnel!$P$9:$P$100="APM")*(Personnel!$G$9:$G$100="Yes")*(67&gt;=Personnel!$E$9:$E$100)*((Personnel!$K$9:$K$100="")+(67&lt;=Personnel!$K$9:$K$100)&gt;0))</f>
        <v>2</v>
      </c>
      <c r="BT44" s="384" t="n">
        <f aca="false">SUMPRODUCT((Personnel!$P$9:$P$100="APM")*(Personnel!$G$9:$G$100="Yes")*(68&gt;=Personnel!$E$9:$E$100)*((Personnel!$K$9:$K$100="")+(68&lt;=Personnel!$K$9:$K$100)&gt;0))</f>
        <v>2</v>
      </c>
      <c r="BU44" s="384" t="n">
        <f aca="false">SUMPRODUCT((Personnel!$P$9:$P$100="APM")*(Personnel!$G$9:$G$100="Yes")*(69&gt;=Personnel!$E$9:$E$100)*((Personnel!$K$9:$K$100="")+(69&lt;=Personnel!$K$9:$K$100)&gt;0))</f>
        <v>2</v>
      </c>
      <c r="BV44" s="384" t="n">
        <f aca="false">SUMPRODUCT((Personnel!$P$9:$P$100="APM")*(Personnel!$G$9:$G$100="Yes")*(70&gt;=Personnel!$E$9:$E$100)*((Personnel!$K$9:$K$100="")+(70&lt;=Personnel!$K$9:$K$100)&gt;0))</f>
        <v>2</v>
      </c>
      <c r="BW44" s="384" t="n">
        <f aca="false">SUMPRODUCT((Personnel!$P$9:$P$100="APM")*(Personnel!$G$9:$G$100="Yes")*(71&gt;=Personnel!$E$9:$E$100)*((Personnel!$K$9:$K$100="")+(71&lt;=Personnel!$K$9:$K$100)&gt;0))</f>
        <v>2</v>
      </c>
      <c r="BX44" s="384" t="n">
        <f aca="false">SUMPRODUCT((Personnel!$P$9:$P$100="APM")*(Personnel!$G$9:$G$100="Yes")*(72&gt;=Personnel!$E$9:$E$100)*((Personnel!$K$9:$K$100="")+(72&lt;=Personnel!$K$9:$K$100)&gt;0))</f>
        <v>2</v>
      </c>
      <c r="BY44" s="384" t="n">
        <f aca="false">SUMPRODUCT((Personnel!$P$9:$P$100="APM")*(Personnel!$G$9:$G$100="Yes")*(73&gt;=Personnel!$E$9:$E$100)*((Personnel!$K$9:$K$100="")+(73&lt;=Personnel!$K$9:$K$100)&gt;0))</f>
        <v>2</v>
      </c>
      <c r="BZ44" s="384" t="n">
        <f aca="false">SUMPRODUCT((Personnel!$P$9:$P$100="APM")*(Personnel!$G$9:$G$100="Yes")*(74&gt;=Personnel!$E$9:$E$100)*((Personnel!$K$9:$K$100="")+(74&lt;=Personnel!$K$9:$K$100)&gt;0))</f>
        <v>2</v>
      </c>
      <c r="CA44" s="384" t="n">
        <f aca="false">SUMPRODUCT((Personnel!$P$9:$P$100="APM")*(Personnel!$G$9:$G$100="Yes")*(75&gt;=Personnel!$E$9:$E$100)*((Personnel!$K$9:$K$100="")+(75&lt;=Personnel!$K$9:$K$100)&gt;0))</f>
        <v>2</v>
      </c>
      <c r="CB44" s="384" t="n">
        <f aca="false">SUMPRODUCT((Personnel!$P$9:$P$100="APM")*(Personnel!$G$9:$G$100="Yes")*(76&gt;=Personnel!$E$9:$E$100)*((Personnel!$K$9:$K$100="")+(76&lt;=Personnel!$K$9:$K$100)&gt;0))</f>
        <v>2</v>
      </c>
      <c r="CC44" s="384" t="n">
        <f aca="false">SUMPRODUCT((Personnel!$P$9:$P$100="APM")*(Personnel!$G$9:$G$100="Yes")*(77&gt;=Personnel!$E$9:$E$100)*((Personnel!$K$9:$K$100="")+(77&lt;=Personnel!$K$9:$K$100)&gt;0))</f>
        <v>2</v>
      </c>
      <c r="CD44" s="384" t="n">
        <f aca="false">SUMPRODUCT((Personnel!$P$9:$P$100="APM")*(Personnel!$G$9:$G$100="Yes")*(78&gt;=Personnel!$E$9:$E$100)*((Personnel!$K$9:$K$100="")+(78&lt;=Personnel!$K$9:$K$100)&gt;0))</f>
        <v>2</v>
      </c>
      <c r="CE44" s="384" t="n">
        <f aca="false">SUMPRODUCT((Personnel!$P$9:$P$100="APM")*(Personnel!$G$9:$G$100="Yes")*(79&gt;=Personnel!$E$9:$E$100)*((Personnel!$K$9:$K$100="")+(79&lt;=Personnel!$K$9:$K$100)&gt;0))</f>
        <v>2</v>
      </c>
      <c r="CF44" s="384" t="n">
        <f aca="false">SUMPRODUCT((Personnel!$P$9:$P$100="APM")*(Personnel!$G$9:$G$100="Yes")*(80&gt;=Personnel!$E$9:$E$100)*((Personnel!$K$9:$K$100="")+(80&lt;=Personnel!$K$9:$K$100)&gt;0))</f>
        <v>2</v>
      </c>
      <c r="CG44" s="384" t="n">
        <f aca="false">SUMPRODUCT((Personnel!$P$9:$P$100="APM")*(Personnel!$G$9:$G$100="Yes")*(81&gt;=Personnel!$E$9:$E$100)*((Personnel!$K$9:$K$100="")+(81&lt;=Personnel!$K$9:$K$100)&gt;0))</f>
        <v>2</v>
      </c>
      <c r="CH44" s="384" t="n">
        <f aca="false">SUMPRODUCT((Personnel!$P$9:$P$100="APM")*(Personnel!$G$9:$G$100="Yes")*(82&gt;=Personnel!$E$9:$E$100)*((Personnel!$K$9:$K$100="")+(82&lt;=Personnel!$K$9:$K$100)&gt;0))</f>
        <v>2</v>
      </c>
      <c r="CI44" s="384" t="n">
        <f aca="false">SUMPRODUCT((Personnel!$P$9:$P$100="APM")*(Personnel!$G$9:$G$100="Yes")*(83&gt;=Personnel!$E$9:$E$100)*((Personnel!$K$9:$K$100="")+(83&lt;=Personnel!$K$9:$K$100)&gt;0))</f>
        <v>2</v>
      </c>
      <c r="CJ44" s="384" t="n">
        <f aca="false">SUMPRODUCT((Personnel!$P$9:$P$100="APM")*(Personnel!$G$9:$G$100="Yes")*(84&gt;=Personnel!$E$9:$E$100)*((Personnel!$K$9:$K$100="")+(84&lt;=Personnel!$K$9:$K$100)&gt;0))</f>
        <v>2</v>
      </c>
      <c r="CK44" s="384" t="n">
        <f aca="false">SUMPRODUCT((Personnel!$P$9:$P$100="APM")*(Personnel!$G$9:$G$100="Yes")*(85&gt;=Personnel!$E$9:$E$100)*((Personnel!$K$9:$K$100="")+(85&lt;=Personnel!$K$9:$K$100)&gt;0))</f>
        <v>2</v>
      </c>
      <c r="CL44" s="384" t="n">
        <f aca="false">SUMPRODUCT((Personnel!$P$9:$P$100="APM")*(Personnel!$G$9:$G$100="Yes")*(86&gt;=Personnel!$E$9:$E$100)*((Personnel!$K$9:$K$100="")+(86&lt;=Personnel!$K$9:$K$100)&gt;0))</f>
        <v>2</v>
      </c>
      <c r="CM44" s="384" t="n">
        <f aca="false">SUMPRODUCT((Personnel!$P$9:$P$100="APM")*(Personnel!$G$9:$G$100="Yes")*(87&gt;=Personnel!$E$9:$E$100)*((Personnel!$K$9:$K$100="")+(87&lt;=Personnel!$K$9:$K$100)&gt;0))</f>
        <v>2</v>
      </c>
      <c r="CN44" s="384" t="n">
        <f aca="false">SUMPRODUCT((Personnel!$P$9:$P$100="APM")*(Personnel!$G$9:$G$100="Yes")*(88&gt;=Personnel!$E$9:$E$100)*((Personnel!$K$9:$K$100="")+(88&lt;=Personnel!$K$9:$K$100)&gt;0))</f>
        <v>2</v>
      </c>
      <c r="CO44" s="384" t="n">
        <f aca="false">SUMPRODUCT((Personnel!$P$9:$P$100="APM")*(Personnel!$G$9:$G$100="Yes")*(89&gt;=Personnel!$E$9:$E$100)*((Personnel!$K$9:$K$100="")+(89&lt;=Personnel!$K$9:$K$100)&gt;0))</f>
        <v>2</v>
      </c>
      <c r="CP44" s="384" t="n">
        <f aca="false">SUMPRODUCT((Personnel!$P$9:$P$100="APM")*(Personnel!$G$9:$G$100="Yes")*(90&gt;=Personnel!$E$9:$E$100)*((Personnel!$K$9:$K$100="")+(90&lt;=Personnel!$K$9:$K$100)&gt;0))</f>
        <v>2</v>
      </c>
      <c r="CQ44" s="384" t="n">
        <f aca="false">SUMPRODUCT((Personnel!$P$9:$P$100="APM")*(Personnel!$G$9:$G$100="Yes")*(91&gt;=Personnel!$E$9:$E$100)*((Personnel!$K$9:$K$100="")+(91&lt;=Personnel!$K$9:$K$100)&gt;0))</f>
        <v>2</v>
      </c>
      <c r="CR44" s="384" t="n">
        <f aca="false">SUMPRODUCT((Personnel!$P$9:$P$100="APM")*(Personnel!$G$9:$G$100="Yes")*(92&gt;=Personnel!$E$9:$E$100)*((Personnel!$K$9:$K$100="")+(92&lt;=Personnel!$K$9:$K$100)&gt;0))</f>
        <v>2</v>
      </c>
      <c r="CS44" s="384" t="n">
        <f aca="false">SUMPRODUCT((Personnel!$P$9:$P$100="APM")*(Personnel!$G$9:$G$100="Yes")*(93&gt;=Personnel!$E$9:$E$100)*((Personnel!$K$9:$K$100="")+(93&lt;=Personnel!$K$9:$K$100)&gt;0))</f>
        <v>2</v>
      </c>
      <c r="CT44" s="384" t="n">
        <f aca="false">SUMPRODUCT((Personnel!$P$9:$P$100="APM")*(Personnel!$G$9:$G$100="Yes")*(94&gt;=Personnel!$E$9:$E$100)*((Personnel!$K$9:$K$100="")+(94&lt;=Personnel!$K$9:$K$100)&gt;0))</f>
        <v>2</v>
      </c>
      <c r="CU44" s="384" t="n">
        <f aca="false">SUMPRODUCT((Personnel!$P$9:$P$100="APM")*(Personnel!$G$9:$G$100="Yes")*(95&gt;=Personnel!$E$9:$E$100)*((Personnel!$K$9:$K$100="")+(95&lt;=Personnel!$K$9:$K$100)&gt;0))</f>
        <v>2</v>
      </c>
      <c r="CV44" s="384" t="n">
        <f aca="false">SUMPRODUCT((Personnel!$P$9:$P$100="APM")*(Personnel!$G$9:$G$100="Yes")*(96&gt;=Personnel!$E$9:$E$100)*((Personnel!$K$9:$K$100="")+(96&lt;=Personnel!$K$9:$K$100)&gt;0))</f>
        <v>2</v>
      </c>
      <c r="CW44" s="384" t="n">
        <f aca="false">SUMPRODUCT((Personnel!$P$9:$P$100="APM")*(Personnel!$G$9:$G$100="Yes")*(97&gt;=Personnel!$E$9:$E$100)*((Personnel!$K$9:$K$100="")+(97&lt;=Personnel!$K$9:$K$100)&gt;0))</f>
        <v>2</v>
      </c>
      <c r="CX44" s="384" t="n">
        <f aca="false">SUMPRODUCT((Personnel!$P$9:$P$100="APM")*(Personnel!$G$9:$G$100="Yes")*(98&gt;=Personnel!$E$9:$E$100)*((Personnel!$K$9:$K$100="")+(98&lt;=Personnel!$K$9:$K$100)&gt;0))</f>
        <v>2</v>
      </c>
      <c r="CY44" s="384" t="n">
        <f aca="false">SUMPRODUCT((Personnel!$P$9:$P$100="APM")*(Personnel!$G$9:$G$100="Yes")*(99&gt;=Personnel!$E$9:$E$100)*((Personnel!$K$9:$K$100="")+(99&lt;=Personnel!$K$9:$K$100)&gt;0))</f>
        <v>2</v>
      </c>
      <c r="CZ44" s="384" t="n">
        <f aca="false">SUMPRODUCT((Personnel!$P$9:$P$100="APM")*(Personnel!$G$9:$G$100="Yes")*(100&gt;=Personnel!$E$9:$E$100)*((Personnel!$K$9:$K$100="")+(100&lt;=Personnel!$K$9:$K$100)&gt;0))</f>
        <v>2</v>
      </c>
      <c r="DA44" s="384" t="n">
        <f aca="false">SUMPRODUCT((Personnel!$P$9:$P$100="APM")*(Personnel!$G$9:$G$100="Yes")*(101&gt;=Personnel!$E$9:$E$100)*((Personnel!$K$9:$K$100="")+(101&lt;=Personnel!$K$9:$K$100)&gt;0))</f>
        <v>2</v>
      </c>
      <c r="DB44" s="384" t="n">
        <f aca="false">SUMPRODUCT((Personnel!$P$9:$P$100="APM")*(Personnel!$G$9:$G$100="Yes")*(102&gt;=Personnel!$E$9:$E$100)*((Personnel!$K$9:$K$100="")+(102&lt;=Personnel!$K$9:$K$100)&gt;0))</f>
        <v>2</v>
      </c>
      <c r="DC44" s="384" t="n">
        <f aca="false">SUMPRODUCT((Personnel!$P$9:$P$100="APM")*(Personnel!$G$9:$G$100="Yes")*(103&gt;=Personnel!$E$9:$E$100)*((Personnel!$K$9:$K$100="")+(103&lt;=Personnel!$K$9:$K$100)&gt;0))</f>
        <v>2</v>
      </c>
      <c r="DD44" s="384" t="n">
        <f aca="false">SUMPRODUCT((Personnel!$P$9:$P$100="APM")*(Personnel!$G$9:$G$100="Yes")*(104&gt;=Personnel!$E$9:$E$100)*((Personnel!$K$9:$K$100="")+(104&lt;=Personnel!$K$9:$K$100)&gt;0))</f>
        <v>2</v>
      </c>
      <c r="DE44" s="384" t="n">
        <f aca="false">SUMPRODUCT((Personnel!$P$9:$P$100="APM")*(Personnel!$G$9:$G$100="Yes")*(105&gt;=Personnel!$E$9:$E$100)*((Personnel!$K$9:$K$100="")+(105&lt;=Personnel!$K$9:$K$100)&gt;0))</f>
        <v>2</v>
      </c>
    </row>
    <row r="45" customFormat="false" ht="13.5" hidden="false" customHeight="true" outlineLevel="0" collapsed="false">
      <c r="A45" s="110" t="s">
        <v>1382</v>
      </c>
      <c r="E45" s="384" t="n">
        <f aca="false">SUMPRODUCT((Personnel!$P$9:$P$100="PM")*(Personnel!$G$9:$G$100="Yes")*(1&gt;=Personnel!$E$9:$E$100)*((Personnel!$K$9:$K$100="")+(1&lt;=Personnel!$K$9:$K$100)&gt;0))</f>
        <v>3</v>
      </c>
      <c r="F45" s="384" t="n">
        <f aca="false">SUMPRODUCT((Personnel!$P$9:$P$100="PM")*(Personnel!$G$9:$G$100="Yes")*(2&gt;=Personnel!$E$9:$E$100)*((Personnel!$K$9:$K$100="")+(2&lt;=Personnel!$K$9:$K$100)&gt;0))</f>
        <v>3</v>
      </c>
      <c r="G45" s="384" t="n">
        <f aca="false">SUMPRODUCT((Personnel!$P$9:$P$100="PM")*(Personnel!$G$9:$G$100="Yes")*(3&gt;=Personnel!$E$9:$E$100)*((Personnel!$K$9:$K$100="")+(3&lt;=Personnel!$K$9:$K$100)&gt;0))</f>
        <v>3</v>
      </c>
      <c r="H45" s="384" t="n">
        <f aca="false">SUMPRODUCT((Personnel!$P$9:$P$100="PM")*(Personnel!$G$9:$G$100="Yes")*(4&gt;=Personnel!$E$9:$E$100)*((Personnel!$K$9:$K$100="")+(4&lt;=Personnel!$K$9:$K$100)&gt;0))</f>
        <v>3</v>
      </c>
      <c r="I45" s="384" t="n">
        <f aca="false">SUMPRODUCT((Personnel!$P$9:$P$100="PM")*(Personnel!$G$9:$G$100="Yes")*(5&gt;=Personnel!$E$9:$E$100)*((Personnel!$K$9:$K$100="")+(5&lt;=Personnel!$K$9:$K$100)&gt;0))</f>
        <v>3</v>
      </c>
      <c r="J45" s="384" t="n">
        <f aca="false">SUMPRODUCT((Personnel!$P$9:$P$100="PM")*(Personnel!$G$9:$G$100="Yes")*(6&gt;=Personnel!$E$9:$E$100)*((Personnel!$K$9:$K$100="")+(6&lt;=Personnel!$K$9:$K$100)&gt;0))</f>
        <v>3</v>
      </c>
      <c r="K45" s="384" t="n">
        <f aca="false">SUMPRODUCT((Personnel!$P$9:$P$100="PM")*(Personnel!$G$9:$G$100="Yes")*(7&gt;=Personnel!$E$9:$E$100)*((Personnel!$K$9:$K$100="")+(7&lt;=Personnel!$K$9:$K$100)&gt;0))</f>
        <v>3</v>
      </c>
      <c r="L45" s="384" t="n">
        <f aca="false">SUMPRODUCT((Personnel!$P$9:$P$100="PM")*(Personnel!$G$9:$G$100="Yes")*(8&gt;=Personnel!$E$9:$E$100)*((Personnel!$K$9:$K$100="")+(8&lt;=Personnel!$K$9:$K$100)&gt;0))</f>
        <v>3</v>
      </c>
      <c r="M45" s="384" t="n">
        <f aca="false">SUMPRODUCT((Personnel!$P$9:$P$100="PM")*(Personnel!$G$9:$G$100="Yes")*(9&gt;=Personnel!$E$9:$E$100)*((Personnel!$K$9:$K$100="")+(9&lt;=Personnel!$K$9:$K$100)&gt;0))</f>
        <v>3</v>
      </c>
      <c r="N45" s="384" t="n">
        <f aca="false">SUMPRODUCT((Personnel!$P$9:$P$100="PM")*(Personnel!$G$9:$G$100="Yes")*(10&gt;=Personnel!$E$9:$E$100)*((Personnel!$K$9:$K$100="")+(10&lt;=Personnel!$K$9:$K$100)&gt;0))</f>
        <v>3</v>
      </c>
      <c r="O45" s="384" t="n">
        <f aca="false">SUMPRODUCT((Personnel!$P$9:$P$100="PM")*(Personnel!$G$9:$G$100="Yes")*(11&gt;=Personnel!$E$9:$E$100)*((Personnel!$K$9:$K$100="")+(11&lt;=Personnel!$K$9:$K$100)&gt;0))</f>
        <v>3</v>
      </c>
      <c r="P45" s="384" t="n">
        <f aca="false">SUMPRODUCT((Personnel!$P$9:$P$100="PM")*(Personnel!$G$9:$G$100="Yes")*(12&gt;=Personnel!$E$9:$E$100)*((Personnel!$K$9:$K$100="")+(12&lt;=Personnel!$K$9:$K$100)&gt;0))</f>
        <v>3</v>
      </c>
      <c r="Q45" s="384" t="n">
        <f aca="false">SUMPRODUCT((Personnel!$P$9:$P$100="PM")*(Personnel!$G$9:$G$100="Yes")*(13&gt;=Personnel!$E$9:$E$100)*((Personnel!$K$9:$K$100="")+(13&lt;=Personnel!$K$9:$K$100)&gt;0))</f>
        <v>3</v>
      </c>
      <c r="R45" s="384" t="n">
        <f aca="false">SUMPRODUCT((Personnel!$P$9:$P$100="PM")*(Personnel!$G$9:$G$100="Yes")*(14&gt;=Personnel!$E$9:$E$100)*((Personnel!$K$9:$K$100="")+(14&lt;=Personnel!$K$9:$K$100)&gt;0))</f>
        <v>3</v>
      </c>
      <c r="S45" s="384" t="n">
        <f aca="false">SUMPRODUCT((Personnel!$P$9:$P$100="PM")*(Personnel!$G$9:$G$100="Yes")*(15&gt;=Personnel!$E$9:$E$100)*((Personnel!$K$9:$K$100="")+(15&lt;=Personnel!$K$9:$K$100)&gt;0))</f>
        <v>3</v>
      </c>
      <c r="T45" s="384" t="n">
        <f aca="false">SUMPRODUCT((Personnel!$P$9:$P$100="PM")*(Personnel!$G$9:$G$100="Yes")*(16&gt;=Personnel!$E$9:$E$100)*((Personnel!$K$9:$K$100="")+(16&lt;=Personnel!$K$9:$K$100)&gt;0))</f>
        <v>3</v>
      </c>
      <c r="U45" s="384" t="n">
        <f aca="false">SUMPRODUCT((Personnel!$P$9:$P$100="PM")*(Personnel!$G$9:$G$100="Yes")*(17&gt;=Personnel!$E$9:$E$100)*((Personnel!$K$9:$K$100="")+(17&lt;=Personnel!$K$9:$K$100)&gt;0))</f>
        <v>3</v>
      </c>
      <c r="V45" s="384" t="n">
        <f aca="false">SUMPRODUCT((Personnel!$P$9:$P$100="PM")*(Personnel!$G$9:$G$100="Yes")*(18&gt;=Personnel!$E$9:$E$100)*((Personnel!$K$9:$K$100="")+(18&lt;=Personnel!$K$9:$K$100)&gt;0))</f>
        <v>3</v>
      </c>
      <c r="W45" s="384" t="n">
        <f aca="false">SUMPRODUCT((Personnel!$P$9:$P$100="PM")*(Personnel!$G$9:$G$100="Yes")*(19&gt;=Personnel!$E$9:$E$100)*((Personnel!$K$9:$K$100="")+(19&lt;=Personnel!$K$9:$K$100)&gt;0))</f>
        <v>3</v>
      </c>
      <c r="X45" s="384" t="n">
        <f aca="false">SUMPRODUCT((Personnel!$P$9:$P$100="PM")*(Personnel!$G$9:$G$100="Yes")*(20&gt;=Personnel!$E$9:$E$100)*((Personnel!$K$9:$K$100="")+(20&lt;=Personnel!$K$9:$K$100)&gt;0))</f>
        <v>3</v>
      </c>
      <c r="Y45" s="384" t="n">
        <f aca="false">SUMPRODUCT((Personnel!$P$9:$P$100="PM")*(Personnel!$G$9:$G$100="Yes")*(21&gt;=Personnel!$E$9:$E$100)*((Personnel!$K$9:$K$100="")+(21&lt;=Personnel!$K$9:$K$100)&gt;0))</f>
        <v>3</v>
      </c>
      <c r="Z45" s="384" t="n">
        <f aca="false">SUMPRODUCT((Personnel!$P$9:$P$100="PM")*(Personnel!$G$9:$G$100="Yes")*(22&gt;=Personnel!$E$9:$E$100)*((Personnel!$K$9:$K$100="")+(22&lt;=Personnel!$K$9:$K$100)&gt;0))</f>
        <v>3</v>
      </c>
      <c r="AA45" s="384" t="n">
        <f aca="false">SUMPRODUCT((Personnel!$P$9:$P$100="PM")*(Personnel!$G$9:$G$100="Yes")*(23&gt;=Personnel!$E$9:$E$100)*((Personnel!$K$9:$K$100="")+(23&lt;=Personnel!$K$9:$K$100)&gt;0))</f>
        <v>3</v>
      </c>
      <c r="AB45" s="384" t="n">
        <f aca="false">SUMPRODUCT((Personnel!$P$9:$P$100="PM")*(Personnel!$G$9:$G$100="Yes")*(24&gt;=Personnel!$E$9:$E$100)*((Personnel!$K$9:$K$100="")+(24&lt;=Personnel!$K$9:$K$100)&gt;0))</f>
        <v>3</v>
      </c>
      <c r="AC45" s="384" t="n">
        <f aca="false">SUMPRODUCT((Personnel!$P$9:$P$100="PM")*(Personnel!$G$9:$G$100="Yes")*(25&gt;=Personnel!$E$9:$E$100)*((Personnel!$K$9:$K$100="")+(25&lt;=Personnel!$K$9:$K$100)&gt;0))</f>
        <v>3</v>
      </c>
      <c r="AD45" s="384" t="n">
        <f aca="false">SUMPRODUCT((Personnel!$P$9:$P$100="PM")*(Personnel!$G$9:$G$100="Yes")*(26&gt;=Personnel!$E$9:$E$100)*((Personnel!$K$9:$K$100="")+(26&lt;=Personnel!$K$9:$K$100)&gt;0))</f>
        <v>3</v>
      </c>
      <c r="AE45" s="384" t="n">
        <f aca="false">SUMPRODUCT((Personnel!$P$9:$P$100="PM")*(Personnel!$G$9:$G$100="Yes")*(27&gt;=Personnel!$E$9:$E$100)*((Personnel!$K$9:$K$100="")+(27&lt;=Personnel!$K$9:$K$100)&gt;0))</f>
        <v>3</v>
      </c>
      <c r="AF45" s="384" t="n">
        <f aca="false">SUMPRODUCT((Personnel!$P$9:$P$100="PM")*(Personnel!$G$9:$G$100="Yes")*(28&gt;=Personnel!$E$9:$E$100)*((Personnel!$K$9:$K$100="")+(28&lt;=Personnel!$K$9:$K$100)&gt;0))</f>
        <v>3</v>
      </c>
      <c r="AG45" s="384" t="n">
        <f aca="false">SUMPRODUCT((Personnel!$P$9:$P$100="PM")*(Personnel!$G$9:$G$100="Yes")*(29&gt;=Personnel!$E$9:$E$100)*((Personnel!$K$9:$K$100="")+(29&lt;=Personnel!$K$9:$K$100)&gt;0))</f>
        <v>3</v>
      </c>
      <c r="AH45" s="384" t="n">
        <f aca="false">SUMPRODUCT((Personnel!$P$9:$P$100="PM")*(Personnel!$G$9:$G$100="Yes")*(30&gt;=Personnel!$E$9:$E$100)*((Personnel!$K$9:$K$100="")+(30&lt;=Personnel!$K$9:$K$100)&gt;0))</f>
        <v>3</v>
      </c>
      <c r="AI45" s="384" t="n">
        <f aca="false">SUMPRODUCT((Personnel!$P$9:$P$100="PM")*(Personnel!$G$9:$G$100="Yes")*(31&gt;=Personnel!$E$9:$E$100)*((Personnel!$K$9:$K$100="")+(31&lt;=Personnel!$K$9:$K$100)&gt;0))</f>
        <v>3</v>
      </c>
      <c r="AJ45" s="384" t="n">
        <f aca="false">SUMPRODUCT((Personnel!$P$9:$P$100="PM")*(Personnel!$G$9:$G$100="Yes")*(32&gt;=Personnel!$E$9:$E$100)*((Personnel!$K$9:$K$100="")+(32&lt;=Personnel!$K$9:$K$100)&gt;0))</f>
        <v>3</v>
      </c>
      <c r="AK45" s="384" t="n">
        <f aca="false">SUMPRODUCT((Personnel!$P$9:$P$100="PM")*(Personnel!$G$9:$G$100="Yes")*(33&gt;=Personnel!$E$9:$E$100)*((Personnel!$K$9:$K$100="")+(33&lt;=Personnel!$K$9:$K$100)&gt;0))</f>
        <v>3</v>
      </c>
      <c r="AL45" s="384" t="n">
        <f aca="false">SUMPRODUCT((Personnel!$P$9:$P$100="PM")*(Personnel!$G$9:$G$100="Yes")*(34&gt;=Personnel!$E$9:$E$100)*((Personnel!$K$9:$K$100="")+(34&lt;=Personnel!$K$9:$K$100)&gt;0))</f>
        <v>3</v>
      </c>
      <c r="AM45" s="384" t="n">
        <f aca="false">SUMPRODUCT((Personnel!$P$9:$P$100="PM")*(Personnel!$G$9:$G$100="Yes")*(35&gt;=Personnel!$E$9:$E$100)*((Personnel!$K$9:$K$100="")+(35&lt;=Personnel!$K$9:$K$100)&gt;0))</f>
        <v>3</v>
      </c>
      <c r="AN45" s="384" t="n">
        <f aca="false">SUMPRODUCT((Personnel!$P$9:$P$100="PM")*(Personnel!$G$9:$G$100="Yes")*(36&gt;=Personnel!$E$9:$E$100)*((Personnel!$K$9:$K$100="")+(36&lt;=Personnel!$K$9:$K$100)&gt;0))</f>
        <v>3</v>
      </c>
      <c r="AO45" s="384" t="n">
        <f aca="false">SUMPRODUCT((Personnel!$P$9:$P$100="PM")*(Personnel!$G$9:$G$100="Yes")*(37&gt;=Personnel!$E$9:$E$100)*((Personnel!$K$9:$K$100="")+(37&lt;=Personnel!$K$9:$K$100)&gt;0))</f>
        <v>3</v>
      </c>
      <c r="AP45" s="384" t="n">
        <f aca="false">SUMPRODUCT((Personnel!$P$9:$P$100="PM")*(Personnel!$G$9:$G$100="Yes")*(38&gt;=Personnel!$E$9:$E$100)*((Personnel!$K$9:$K$100="")+(38&lt;=Personnel!$K$9:$K$100)&gt;0))</f>
        <v>3</v>
      </c>
      <c r="AQ45" s="384" t="n">
        <f aca="false">SUMPRODUCT((Personnel!$P$9:$P$100="PM")*(Personnel!$G$9:$G$100="Yes")*(39&gt;=Personnel!$E$9:$E$100)*((Personnel!$K$9:$K$100="")+(39&lt;=Personnel!$K$9:$K$100)&gt;0))</f>
        <v>3</v>
      </c>
      <c r="AR45" s="384" t="n">
        <f aca="false">SUMPRODUCT((Personnel!$P$9:$P$100="PM")*(Personnel!$G$9:$G$100="Yes")*(40&gt;=Personnel!$E$9:$E$100)*((Personnel!$K$9:$K$100="")+(40&lt;=Personnel!$K$9:$K$100)&gt;0))</f>
        <v>3</v>
      </c>
      <c r="AS45" s="384" t="n">
        <f aca="false">SUMPRODUCT((Personnel!$P$9:$P$100="PM")*(Personnel!$G$9:$G$100="Yes")*(41&gt;=Personnel!$E$9:$E$100)*((Personnel!$K$9:$K$100="")+(41&lt;=Personnel!$K$9:$K$100)&gt;0))</f>
        <v>3</v>
      </c>
      <c r="AT45" s="384" t="n">
        <f aca="false">SUMPRODUCT((Personnel!$P$9:$P$100="PM")*(Personnel!$G$9:$G$100="Yes")*(42&gt;=Personnel!$E$9:$E$100)*((Personnel!$K$9:$K$100="")+(42&lt;=Personnel!$K$9:$K$100)&gt;0))</f>
        <v>3</v>
      </c>
      <c r="AU45" s="384" t="n">
        <f aca="false">SUMPRODUCT((Personnel!$P$9:$P$100="PM")*(Personnel!$G$9:$G$100="Yes")*(43&gt;=Personnel!$E$9:$E$100)*((Personnel!$K$9:$K$100="")+(43&lt;=Personnel!$K$9:$K$100)&gt;0))</f>
        <v>3</v>
      </c>
      <c r="AV45" s="384" t="n">
        <f aca="false">SUMPRODUCT((Personnel!$P$9:$P$100="PM")*(Personnel!$G$9:$G$100="Yes")*(44&gt;=Personnel!$E$9:$E$100)*((Personnel!$K$9:$K$100="")+(44&lt;=Personnel!$K$9:$K$100)&gt;0))</f>
        <v>3</v>
      </c>
      <c r="AW45" s="384" t="n">
        <f aca="false">SUMPRODUCT((Personnel!$P$9:$P$100="PM")*(Personnel!$G$9:$G$100="Yes")*(45&gt;=Personnel!$E$9:$E$100)*((Personnel!$K$9:$K$100="")+(45&lt;=Personnel!$K$9:$K$100)&gt;0))</f>
        <v>3</v>
      </c>
      <c r="AX45" s="384" t="n">
        <f aca="false">SUMPRODUCT((Personnel!$P$9:$P$100="PM")*(Personnel!$G$9:$G$100="Yes")*(46&gt;=Personnel!$E$9:$E$100)*((Personnel!$K$9:$K$100="")+(46&lt;=Personnel!$K$9:$K$100)&gt;0))</f>
        <v>3</v>
      </c>
      <c r="AY45" s="384" t="n">
        <f aca="false">SUMPRODUCT((Personnel!$P$9:$P$100="PM")*(Personnel!$G$9:$G$100="Yes")*(47&gt;=Personnel!$E$9:$E$100)*((Personnel!$K$9:$K$100="")+(47&lt;=Personnel!$K$9:$K$100)&gt;0))</f>
        <v>3</v>
      </c>
      <c r="AZ45" s="384" t="n">
        <f aca="false">SUMPRODUCT((Personnel!$P$9:$P$100="PM")*(Personnel!$G$9:$G$100="Yes")*(48&gt;=Personnel!$E$9:$E$100)*((Personnel!$K$9:$K$100="")+(48&lt;=Personnel!$K$9:$K$100)&gt;0))</f>
        <v>3</v>
      </c>
      <c r="BA45" s="384" t="n">
        <f aca="false">SUMPRODUCT((Personnel!$P$9:$P$100="PM")*(Personnel!$G$9:$G$100="Yes")*(49&gt;=Personnel!$E$9:$E$100)*((Personnel!$K$9:$K$100="")+(49&lt;=Personnel!$K$9:$K$100)&gt;0))</f>
        <v>3</v>
      </c>
      <c r="BB45" s="384" t="n">
        <f aca="false">SUMPRODUCT((Personnel!$P$9:$P$100="PM")*(Personnel!$G$9:$G$100="Yes")*(50&gt;=Personnel!$E$9:$E$100)*((Personnel!$K$9:$K$100="")+(50&lt;=Personnel!$K$9:$K$100)&gt;0))</f>
        <v>3</v>
      </c>
      <c r="BC45" s="384" t="n">
        <f aca="false">SUMPRODUCT((Personnel!$P$9:$P$100="PM")*(Personnel!$G$9:$G$100="Yes")*(51&gt;=Personnel!$E$9:$E$100)*((Personnel!$K$9:$K$100="")+(51&lt;=Personnel!$K$9:$K$100)&gt;0))</f>
        <v>3</v>
      </c>
      <c r="BD45" s="384" t="n">
        <f aca="false">SUMPRODUCT((Personnel!$P$9:$P$100="PM")*(Personnel!$G$9:$G$100="Yes")*(52&gt;=Personnel!$E$9:$E$100)*((Personnel!$K$9:$K$100="")+(52&lt;=Personnel!$K$9:$K$100)&gt;0))</f>
        <v>3</v>
      </c>
      <c r="BE45" s="384" t="n">
        <f aca="false">SUMPRODUCT((Personnel!$P$9:$P$100="PM")*(Personnel!$G$9:$G$100="Yes")*(53&gt;=Personnel!$E$9:$E$100)*((Personnel!$K$9:$K$100="")+(53&lt;=Personnel!$K$9:$K$100)&gt;0))</f>
        <v>3</v>
      </c>
      <c r="BF45" s="384" t="n">
        <f aca="false">SUMPRODUCT((Personnel!$P$9:$P$100="PM")*(Personnel!$G$9:$G$100="Yes")*(54&gt;=Personnel!$E$9:$E$100)*((Personnel!$K$9:$K$100="")+(54&lt;=Personnel!$K$9:$K$100)&gt;0))</f>
        <v>3</v>
      </c>
      <c r="BG45" s="384" t="n">
        <f aca="false">SUMPRODUCT((Personnel!$P$9:$P$100="PM")*(Personnel!$G$9:$G$100="Yes")*(55&gt;=Personnel!$E$9:$E$100)*((Personnel!$K$9:$K$100="")+(55&lt;=Personnel!$K$9:$K$100)&gt;0))</f>
        <v>3</v>
      </c>
      <c r="BH45" s="384" t="n">
        <f aca="false">SUMPRODUCT((Personnel!$P$9:$P$100="PM")*(Personnel!$G$9:$G$100="Yes")*(56&gt;=Personnel!$E$9:$E$100)*((Personnel!$K$9:$K$100="")+(56&lt;=Personnel!$K$9:$K$100)&gt;0))</f>
        <v>3</v>
      </c>
      <c r="BI45" s="384" t="n">
        <f aca="false">SUMPRODUCT((Personnel!$P$9:$P$100="PM")*(Personnel!$G$9:$G$100="Yes")*(57&gt;=Personnel!$E$9:$E$100)*((Personnel!$K$9:$K$100="")+(57&lt;=Personnel!$K$9:$K$100)&gt;0))</f>
        <v>3</v>
      </c>
      <c r="BJ45" s="384" t="n">
        <f aca="false">SUMPRODUCT((Personnel!$P$9:$P$100="PM")*(Personnel!$G$9:$G$100="Yes")*(58&gt;=Personnel!$E$9:$E$100)*((Personnel!$K$9:$K$100="")+(58&lt;=Personnel!$K$9:$K$100)&gt;0))</f>
        <v>3</v>
      </c>
      <c r="BK45" s="384" t="n">
        <f aca="false">SUMPRODUCT((Personnel!$P$9:$P$100="PM")*(Personnel!$G$9:$G$100="Yes")*(59&gt;=Personnel!$E$9:$E$100)*((Personnel!$K$9:$K$100="")+(59&lt;=Personnel!$K$9:$K$100)&gt;0))</f>
        <v>3</v>
      </c>
      <c r="BL45" s="384" t="n">
        <f aca="false">SUMPRODUCT((Personnel!$P$9:$P$100="PM")*(Personnel!$G$9:$G$100="Yes")*(60&gt;=Personnel!$E$9:$E$100)*((Personnel!$K$9:$K$100="")+(60&lt;=Personnel!$K$9:$K$100)&gt;0))</f>
        <v>3</v>
      </c>
      <c r="BM45" s="384" t="n">
        <f aca="false">SUMPRODUCT((Personnel!$P$9:$P$100="PM")*(Personnel!$G$9:$G$100="Yes")*(61&gt;=Personnel!$E$9:$E$100)*((Personnel!$K$9:$K$100="")+(61&lt;=Personnel!$K$9:$K$100)&gt;0))</f>
        <v>3</v>
      </c>
      <c r="BN45" s="384" t="n">
        <f aca="false">SUMPRODUCT((Personnel!$P$9:$P$100="PM")*(Personnel!$G$9:$G$100="Yes")*(62&gt;=Personnel!$E$9:$E$100)*((Personnel!$K$9:$K$100="")+(62&lt;=Personnel!$K$9:$K$100)&gt;0))</f>
        <v>3</v>
      </c>
      <c r="BO45" s="384" t="n">
        <f aca="false">SUMPRODUCT((Personnel!$P$9:$P$100="PM")*(Personnel!$G$9:$G$100="Yes")*(63&gt;=Personnel!$E$9:$E$100)*((Personnel!$K$9:$K$100="")+(63&lt;=Personnel!$K$9:$K$100)&gt;0))</f>
        <v>3</v>
      </c>
      <c r="BP45" s="384" t="n">
        <f aca="false">SUMPRODUCT((Personnel!$P$9:$P$100="PM")*(Personnel!$G$9:$G$100="Yes")*(64&gt;=Personnel!$E$9:$E$100)*((Personnel!$K$9:$K$100="")+(64&lt;=Personnel!$K$9:$K$100)&gt;0))</f>
        <v>3</v>
      </c>
      <c r="BQ45" s="384" t="n">
        <f aca="false">SUMPRODUCT((Personnel!$P$9:$P$100="PM")*(Personnel!$G$9:$G$100="Yes")*(65&gt;=Personnel!$E$9:$E$100)*((Personnel!$K$9:$K$100="")+(65&lt;=Personnel!$K$9:$K$100)&gt;0))</f>
        <v>3</v>
      </c>
      <c r="BR45" s="384" t="n">
        <f aca="false">SUMPRODUCT((Personnel!$P$9:$P$100="PM")*(Personnel!$G$9:$G$100="Yes")*(66&gt;=Personnel!$E$9:$E$100)*((Personnel!$K$9:$K$100="")+(66&lt;=Personnel!$K$9:$K$100)&gt;0))</f>
        <v>3</v>
      </c>
      <c r="BS45" s="384" t="n">
        <f aca="false">SUMPRODUCT((Personnel!$P$9:$P$100="PM")*(Personnel!$G$9:$G$100="Yes")*(67&gt;=Personnel!$E$9:$E$100)*((Personnel!$K$9:$K$100="")+(67&lt;=Personnel!$K$9:$K$100)&gt;0))</f>
        <v>3</v>
      </c>
      <c r="BT45" s="384" t="n">
        <f aca="false">SUMPRODUCT((Personnel!$P$9:$P$100="PM")*(Personnel!$G$9:$G$100="Yes")*(68&gt;=Personnel!$E$9:$E$100)*((Personnel!$K$9:$K$100="")+(68&lt;=Personnel!$K$9:$K$100)&gt;0))</f>
        <v>3</v>
      </c>
      <c r="BU45" s="384" t="n">
        <f aca="false">SUMPRODUCT((Personnel!$P$9:$P$100="PM")*(Personnel!$G$9:$G$100="Yes")*(69&gt;=Personnel!$E$9:$E$100)*((Personnel!$K$9:$K$100="")+(69&lt;=Personnel!$K$9:$K$100)&gt;0))</f>
        <v>3</v>
      </c>
      <c r="BV45" s="384" t="n">
        <f aca="false">SUMPRODUCT((Personnel!$P$9:$P$100="PM")*(Personnel!$G$9:$G$100="Yes")*(70&gt;=Personnel!$E$9:$E$100)*((Personnel!$K$9:$K$100="")+(70&lt;=Personnel!$K$9:$K$100)&gt;0))</f>
        <v>3</v>
      </c>
      <c r="BW45" s="384" t="n">
        <f aca="false">SUMPRODUCT((Personnel!$P$9:$P$100="PM")*(Personnel!$G$9:$G$100="Yes")*(71&gt;=Personnel!$E$9:$E$100)*((Personnel!$K$9:$K$100="")+(71&lt;=Personnel!$K$9:$K$100)&gt;0))</f>
        <v>3</v>
      </c>
      <c r="BX45" s="384" t="n">
        <f aca="false">SUMPRODUCT((Personnel!$P$9:$P$100="PM")*(Personnel!$G$9:$G$100="Yes")*(72&gt;=Personnel!$E$9:$E$100)*((Personnel!$K$9:$K$100="")+(72&lt;=Personnel!$K$9:$K$100)&gt;0))</f>
        <v>3</v>
      </c>
      <c r="BY45" s="384" t="n">
        <f aca="false">SUMPRODUCT((Personnel!$P$9:$P$100="PM")*(Personnel!$G$9:$G$100="Yes")*(73&gt;=Personnel!$E$9:$E$100)*((Personnel!$K$9:$K$100="")+(73&lt;=Personnel!$K$9:$K$100)&gt;0))</f>
        <v>3</v>
      </c>
      <c r="BZ45" s="384" t="n">
        <f aca="false">SUMPRODUCT((Personnel!$P$9:$P$100="PM")*(Personnel!$G$9:$G$100="Yes")*(74&gt;=Personnel!$E$9:$E$100)*((Personnel!$K$9:$K$100="")+(74&lt;=Personnel!$K$9:$K$100)&gt;0))</f>
        <v>3</v>
      </c>
      <c r="CA45" s="384" t="n">
        <f aca="false">SUMPRODUCT((Personnel!$P$9:$P$100="PM")*(Personnel!$G$9:$G$100="Yes")*(75&gt;=Personnel!$E$9:$E$100)*((Personnel!$K$9:$K$100="")+(75&lt;=Personnel!$K$9:$K$100)&gt;0))</f>
        <v>3</v>
      </c>
      <c r="CB45" s="384" t="n">
        <f aca="false">SUMPRODUCT((Personnel!$P$9:$P$100="PM")*(Personnel!$G$9:$G$100="Yes")*(76&gt;=Personnel!$E$9:$E$100)*((Personnel!$K$9:$K$100="")+(76&lt;=Personnel!$K$9:$K$100)&gt;0))</f>
        <v>3</v>
      </c>
      <c r="CC45" s="384" t="n">
        <f aca="false">SUMPRODUCT((Personnel!$P$9:$P$100="PM")*(Personnel!$G$9:$G$100="Yes")*(77&gt;=Personnel!$E$9:$E$100)*((Personnel!$K$9:$K$100="")+(77&lt;=Personnel!$K$9:$K$100)&gt;0))</f>
        <v>3</v>
      </c>
      <c r="CD45" s="384" t="n">
        <f aca="false">SUMPRODUCT((Personnel!$P$9:$P$100="PM")*(Personnel!$G$9:$G$100="Yes")*(78&gt;=Personnel!$E$9:$E$100)*((Personnel!$K$9:$K$100="")+(78&lt;=Personnel!$K$9:$K$100)&gt;0))</f>
        <v>3</v>
      </c>
      <c r="CE45" s="384" t="n">
        <f aca="false">SUMPRODUCT((Personnel!$P$9:$P$100="PM")*(Personnel!$G$9:$G$100="Yes")*(79&gt;=Personnel!$E$9:$E$100)*((Personnel!$K$9:$K$100="")+(79&lt;=Personnel!$K$9:$K$100)&gt;0))</f>
        <v>3</v>
      </c>
      <c r="CF45" s="384" t="n">
        <f aca="false">SUMPRODUCT((Personnel!$P$9:$P$100="PM")*(Personnel!$G$9:$G$100="Yes")*(80&gt;=Personnel!$E$9:$E$100)*((Personnel!$K$9:$K$100="")+(80&lt;=Personnel!$K$9:$K$100)&gt;0))</f>
        <v>3</v>
      </c>
      <c r="CG45" s="384" t="n">
        <f aca="false">SUMPRODUCT((Personnel!$P$9:$P$100="PM")*(Personnel!$G$9:$G$100="Yes")*(81&gt;=Personnel!$E$9:$E$100)*((Personnel!$K$9:$K$100="")+(81&lt;=Personnel!$K$9:$K$100)&gt;0))</f>
        <v>3</v>
      </c>
      <c r="CH45" s="384" t="n">
        <f aca="false">SUMPRODUCT((Personnel!$P$9:$P$100="PM")*(Personnel!$G$9:$G$100="Yes")*(82&gt;=Personnel!$E$9:$E$100)*((Personnel!$K$9:$K$100="")+(82&lt;=Personnel!$K$9:$K$100)&gt;0))</f>
        <v>3</v>
      </c>
      <c r="CI45" s="384" t="n">
        <f aca="false">SUMPRODUCT((Personnel!$P$9:$P$100="PM")*(Personnel!$G$9:$G$100="Yes")*(83&gt;=Personnel!$E$9:$E$100)*((Personnel!$K$9:$K$100="")+(83&lt;=Personnel!$K$9:$K$100)&gt;0))</f>
        <v>3</v>
      </c>
      <c r="CJ45" s="384" t="n">
        <f aca="false">SUMPRODUCT((Personnel!$P$9:$P$100="PM")*(Personnel!$G$9:$G$100="Yes")*(84&gt;=Personnel!$E$9:$E$100)*((Personnel!$K$9:$K$100="")+(84&lt;=Personnel!$K$9:$K$100)&gt;0))</f>
        <v>3</v>
      </c>
      <c r="CK45" s="384" t="n">
        <f aca="false">SUMPRODUCT((Personnel!$P$9:$P$100="PM")*(Personnel!$G$9:$G$100="Yes")*(85&gt;=Personnel!$E$9:$E$100)*((Personnel!$K$9:$K$100="")+(85&lt;=Personnel!$K$9:$K$100)&gt;0))</f>
        <v>3</v>
      </c>
      <c r="CL45" s="384" t="n">
        <f aca="false">SUMPRODUCT((Personnel!$P$9:$P$100="PM")*(Personnel!$G$9:$G$100="Yes")*(86&gt;=Personnel!$E$9:$E$100)*((Personnel!$K$9:$K$100="")+(86&lt;=Personnel!$K$9:$K$100)&gt;0))</f>
        <v>3</v>
      </c>
      <c r="CM45" s="384" t="n">
        <f aca="false">SUMPRODUCT((Personnel!$P$9:$P$100="PM")*(Personnel!$G$9:$G$100="Yes")*(87&gt;=Personnel!$E$9:$E$100)*((Personnel!$K$9:$K$100="")+(87&lt;=Personnel!$K$9:$K$100)&gt;0))</f>
        <v>3</v>
      </c>
      <c r="CN45" s="384" t="n">
        <f aca="false">SUMPRODUCT((Personnel!$P$9:$P$100="PM")*(Personnel!$G$9:$G$100="Yes")*(88&gt;=Personnel!$E$9:$E$100)*((Personnel!$K$9:$K$100="")+(88&lt;=Personnel!$K$9:$K$100)&gt;0))</f>
        <v>3</v>
      </c>
      <c r="CO45" s="384" t="n">
        <f aca="false">SUMPRODUCT((Personnel!$P$9:$P$100="PM")*(Personnel!$G$9:$G$100="Yes")*(89&gt;=Personnel!$E$9:$E$100)*((Personnel!$K$9:$K$100="")+(89&lt;=Personnel!$K$9:$K$100)&gt;0))</f>
        <v>3</v>
      </c>
      <c r="CP45" s="384" t="n">
        <f aca="false">SUMPRODUCT((Personnel!$P$9:$P$100="PM")*(Personnel!$G$9:$G$100="Yes")*(90&gt;=Personnel!$E$9:$E$100)*((Personnel!$K$9:$K$100="")+(90&lt;=Personnel!$K$9:$K$100)&gt;0))</f>
        <v>3</v>
      </c>
      <c r="CQ45" s="384" t="n">
        <f aca="false">SUMPRODUCT((Personnel!$P$9:$P$100="PM")*(Personnel!$G$9:$G$100="Yes")*(91&gt;=Personnel!$E$9:$E$100)*((Personnel!$K$9:$K$100="")+(91&lt;=Personnel!$K$9:$K$100)&gt;0))</f>
        <v>3</v>
      </c>
      <c r="CR45" s="384" t="n">
        <f aca="false">SUMPRODUCT((Personnel!$P$9:$P$100="PM")*(Personnel!$G$9:$G$100="Yes")*(92&gt;=Personnel!$E$9:$E$100)*((Personnel!$K$9:$K$100="")+(92&lt;=Personnel!$K$9:$K$100)&gt;0))</f>
        <v>3</v>
      </c>
      <c r="CS45" s="384" t="n">
        <f aca="false">SUMPRODUCT((Personnel!$P$9:$P$100="PM")*(Personnel!$G$9:$G$100="Yes")*(93&gt;=Personnel!$E$9:$E$100)*((Personnel!$K$9:$K$100="")+(93&lt;=Personnel!$K$9:$K$100)&gt;0))</f>
        <v>3</v>
      </c>
      <c r="CT45" s="384" t="n">
        <f aca="false">SUMPRODUCT((Personnel!$P$9:$P$100="PM")*(Personnel!$G$9:$G$100="Yes")*(94&gt;=Personnel!$E$9:$E$100)*((Personnel!$K$9:$K$100="")+(94&lt;=Personnel!$K$9:$K$100)&gt;0))</f>
        <v>3</v>
      </c>
      <c r="CU45" s="384" t="n">
        <f aca="false">SUMPRODUCT((Personnel!$P$9:$P$100="PM")*(Personnel!$G$9:$G$100="Yes")*(95&gt;=Personnel!$E$9:$E$100)*((Personnel!$K$9:$K$100="")+(95&lt;=Personnel!$K$9:$K$100)&gt;0))</f>
        <v>3</v>
      </c>
      <c r="CV45" s="384" t="n">
        <f aca="false">SUMPRODUCT((Personnel!$P$9:$P$100="PM")*(Personnel!$G$9:$G$100="Yes")*(96&gt;=Personnel!$E$9:$E$100)*((Personnel!$K$9:$K$100="")+(96&lt;=Personnel!$K$9:$K$100)&gt;0))</f>
        <v>3</v>
      </c>
      <c r="CW45" s="384" t="n">
        <f aca="false">SUMPRODUCT((Personnel!$P$9:$P$100="PM")*(Personnel!$G$9:$G$100="Yes")*(97&gt;=Personnel!$E$9:$E$100)*((Personnel!$K$9:$K$100="")+(97&lt;=Personnel!$K$9:$K$100)&gt;0))</f>
        <v>3</v>
      </c>
      <c r="CX45" s="384" t="n">
        <f aca="false">SUMPRODUCT((Personnel!$P$9:$P$100="PM")*(Personnel!$G$9:$G$100="Yes")*(98&gt;=Personnel!$E$9:$E$100)*((Personnel!$K$9:$K$100="")+(98&lt;=Personnel!$K$9:$K$100)&gt;0))</f>
        <v>3</v>
      </c>
      <c r="CY45" s="384" t="n">
        <f aca="false">SUMPRODUCT((Personnel!$P$9:$P$100="PM")*(Personnel!$G$9:$G$100="Yes")*(99&gt;=Personnel!$E$9:$E$100)*((Personnel!$K$9:$K$100="")+(99&lt;=Personnel!$K$9:$K$100)&gt;0))</f>
        <v>3</v>
      </c>
      <c r="CZ45" s="384" t="n">
        <f aca="false">SUMPRODUCT((Personnel!$P$9:$P$100="PM")*(Personnel!$G$9:$G$100="Yes")*(100&gt;=Personnel!$E$9:$E$100)*((Personnel!$K$9:$K$100="")+(100&lt;=Personnel!$K$9:$K$100)&gt;0))</f>
        <v>3</v>
      </c>
      <c r="DA45" s="384" t="n">
        <f aca="false">SUMPRODUCT((Personnel!$P$9:$P$100="PM")*(Personnel!$G$9:$G$100="Yes")*(101&gt;=Personnel!$E$9:$E$100)*((Personnel!$K$9:$K$100="")+(101&lt;=Personnel!$K$9:$K$100)&gt;0))</f>
        <v>3</v>
      </c>
      <c r="DB45" s="384" t="n">
        <f aca="false">SUMPRODUCT((Personnel!$P$9:$P$100="PM")*(Personnel!$G$9:$G$100="Yes")*(102&gt;=Personnel!$E$9:$E$100)*((Personnel!$K$9:$K$100="")+(102&lt;=Personnel!$K$9:$K$100)&gt;0))</f>
        <v>3</v>
      </c>
      <c r="DC45" s="384" t="n">
        <f aca="false">SUMPRODUCT((Personnel!$P$9:$P$100="PM")*(Personnel!$G$9:$G$100="Yes")*(103&gt;=Personnel!$E$9:$E$100)*((Personnel!$K$9:$K$100="")+(103&lt;=Personnel!$K$9:$K$100)&gt;0))</f>
        <v>3</v>
      </c>
      <c r="DD45" s="384" t="n">
        <f aca="false">SUMPRODUCT((Personnel!$P$9:$P$100="PM")*(Personnel!$G$9:$G$100="Yes")*(104&gt;=Personnel!$E$9:$E$100)*((Personnel!$K$9:$K$100="")+(104&lt;=Personnel!$K$9:$K$100)&gt;0))</f>
        <v>3</v>
      </c>
      <c r="DE45" s="384" t="n">
        <f aca="false">SUMPRODUCT((Personnel!$P$9:$P$100="PM")*(Personnel!$G$9:$G$100="Yes")*(105&gt;=Personnel!$E$9:$E$100)*((Personnel!$K$9:$K$100="")+(105&lt;=Personnel!$K$9:$K$100)&gt;0))</f>
        <v>3</v>
      </c>
    </row>
    <row r="46" customFormat="false" ht="13.5" hidden="false" customHeight="true" outlineLevel="0" collapsed="false">
      <c r="A46" s="110" t="s">
        <v>1383</v>
      </c>
      <c r="E46" s="384" t="n">
        <f aca="false">SUMPRODUCT((Personnel!$P$9:$P$100="FE")*(Personnel!$G$9:$G$100="Yes")*(1&gt;=Personnel!$E$9:$E$100)*((Personnel!$K$9:$K$100="")+(1&lt;=Personnel!$K$9:$K$100)&gt;0))</f>
        <v>0</v>
      </c>
      <c r="F46" s="384" t="n">
        <f aca="false">SUMPRODUCT((Personnel!$P$9:$P$100="FE")*(Personnel!$G$9:$G$100="Yes")*(2&gt;=Personnel!$E$9:$E$100)*((Personnel!$K$9:$K$100="")+(2&lt;=Personnel!$K$9:$K$100)&gt;0))</f>
        <v>0</v>
      </c>
      <c r="G46" s="384" t="n">
        <f aca="false">SUMPRODUCT((Personnel!$P$9:$P$100="FE")*(Personnel!$G$9:$G$100="Yes")*(3&gt;=Personnel!$E$9:$E$100)*((Personnel!$K$9:$K$100="")+(3&lt;=Personnel!$K$9:$K$100)&gt;0))</f>
        <v>0</v>
      </c>
      <c r="H46" s="384" t="n">
        <f aca="false">SUMPRODUCT((Personnel!$P$9:$P$100="FE")*(Personnel!$G$9:$G$100="Yes")*(4&gt;=Personnel!$E$9:$E$100)*((Personnel!$K$9:$K$100="")+(4&lt;=Personnel!$K$9:$K$100)&gt;0))</f>
        <v>0</v>
      </c>
      <c r="I46" s="384" t="n">
        <f aca="false">SUMPRODUCT((Personnel!$P$9:$P$100="FE")*(Personnel!$G$9:$G$100="Yes")*(5&gt;=Personnel!$E$9:$E$100)*((Personnel!$K$9:$K$100="")+(5&lt;=Personnel!$K$9:$K$100)&gt;0))</f>
        <v>0</v>
      </c>
      <c r="J46" s="384" t="n">
        <f aca="false">SUMPRODUCT((Personnel!$P$9:$P$100="FE")*(Personnel!$G$9:$G$100="Yes")*(6&gt;=Personnel!$E$9:$E$100)*((Personnel!$K$9:$K$100="")+(6&lt;=Personnel!$K$9:$K$100)&gt;0))</f>
        <v>0</v>
      </c>
      <c r="K46" s="384" t="n">
        <f aca="false">SUMPRODUCT((Personnel!$P$9:$P$100="FE")*(Personnel!$G$9:$G$100="Yes")*(7&gt;=Personnel!$E$9:$E$100)*((Personnel!$K$9:$K$100="")+(7&lt;=Personnel!$K$9:$K$100)&gt;0))</f>
        <v>0</v>
      </c>
      <c r="L46" s="384" t="n">
        <f aca="false">SUMPRODUCT((Personnel!$P$9:$P$100="FE")*(Personnel!$G$9:$G$100="Yes")*(8&gt;=Personnel!$E$9:$E$100)*((Personnel!$K$9:$K$100="")+(8&lt;=Personnel!$K$9:$K$100)&gt;0))</f>
        <v>0</v>
      </c>
      <c r="M46" s="384" t="n">
        <f aca="false">SUMPRODUCT((Personnel!$P$9:$P$100="FE")*(Personnel!$G$9:$G$100="Yes")*(9&gt;=Personnel!$E$9:$E$100)*((Personnel!$K$9:$K$100="")+(9&lt;=Personnel!$K$9:$K$100)&gt;0))</f>
        <v>0</v>
      </c>
      <c r="N46" s="384" t="n">
        <f aca="false">SUMPRODUCT((Personnel!$P$9:$P$100="FE")*(Personnel!$G$9:$G$100="Yes")*(10&gt;=Personnel!$E$9:$E$100)*((Personnel!$K$9:$K$100="")+(10&lt;=Personnel!$K$9:$K$100)&gt;0))</f>
        <v>0</v>
      </c>
      <c r="O46" s="384" t="n">
        <f aca="false">SUMPRODUCT((Personnel!$P$9:$P$100="FE")*(Personnel!$G$9:$G$100="Yes")*(11&gt;=Personnel!$E$9:$E$100)*((Personnel!$K$9:$K$100="")+(11&lt;=Personnel!$K$9:$K$100)&gt;0))</f>
        <v>0</v>
      </c>
      <c r="P46" s="384" t="n">
        <f aca="false">SUMPRODUCT((Personnel!$P$9:$P$100="FE")*(Personnel!$G$9:$G$100="Yes")*(12&gt;=Personnel!$E$9:$E$100)*((Personnel!$K$9:$K$100="")+(12&lt;=Personnel!$K$9:$K$100)&gt;0))</f>
        <v>0</v>
      </c>
      <c r="Q46" s="384" t="n">
        <f aca="false">SUMPRODUCT((Personnel!$P$9:$P$100="FE")*(Personnel!$G$9:$G$100="Yes")*(13&gt;=Personnel!$E$9:$E$100)*((Personnel!$K$9:$K$100="")+(13&lt;=Personnel!$K$9:$K$100)&gt;0))</f>
        <v>0</v>
      </c>
      <c r="R46" s="384" t="n">
        <f aca="false">SUMPRODUCT((Personnel!$P$9:$P$100="FE")*(Personnel!$G$9:$G$100="Yes")*(14&gt;=Personnel!$E$9:$E$100)*((Personnel!$K$9:$K$100="")+(14&lt;=Personnel!$K$9:$K$100)&gt;0))</f>
        <v>0</v>
      </c>
      <c r="S46" s="384" t="n">
        <f aca="false">SUMPRODUCT((Personnel!$P$9:$P$100="FE")*(Personnel!$G$9:$G$100="Yes")*(15&gt;=Personnel!$E$9:$E$100)*((Personnel!$K$9:$K$100="")+(15&lt;=Personnel!$K$9:$K$100)&gt;0))</f>
        <v>0</v>
      </c>
      <c r="T46" s="384" t="n">
        <f aca="false">SUMPRODUCT((Personnel!$P$9:$P$100="FE")*(Personnel!$G$9:$G$100="Yes")*(16&gt;=Personnel!$E$9:$E$100)*((Personnel!$K$9:$K$100="")+(16&lt;=Personnel!$K$9:$K$100)&gt;0))</f>
        <v>0</v>
      </c>
      <c r="U46" s="384" t="n">
        <f aca="false">SUMPRODUCT((Personnel!$P$9:$P$100="FE")*(Personnel!$G$9:$G$100="Yes")*(17&gt;=Personnel!$E$9:$E$100)*((Personnel!$K$9:$K$100="")+(17&lt;=Personnel!$K$9:$K$100)&gt;0))</f>
        <v>0</v>
      </c>
      <c r="V46" s="384" t="n">
        <f aca="false">SUMPRODUCT((Personnel!$P$9:$P$100="FE")*(Personnel!$G$9:$G$100="Yes")*(18&gt;=Personnel!$E$9:$E$100)*((Personnel!$K$9:$K$100="")+(18&lt;=Personnel!$K$9:$K$100)&gt;0))</f>
        <v>0</v>
      </c>
      <c r="W46" s="384" t="n">
        <f aca="false">SUMPRODUCT((Personnel!$P$9:$P$100="FE")*(Personnel!$G$9:$G$100="Yes")*(19&gt;=Personnel!$E$9:$E$100)*((Personnel!$K$9:$K$100="")+(19&lt;=Personnel!$K$9:$K$100)&gt;0))</f>
        <v>0</v>
      </c>
      <c r="X46" s="384" t="n">
        <f aca="false">SUMPRODUCT((Personnel!$P$9:$P$100="FE")*(Personnel!$G$9:$G$100="Yes")*(20&gt;=Personnel!$E$9:$E$100)*((Personnel!$K$9:$K$100="")+(20&lt;=Personnel!$K$9:$K$100)&gt;0))</f>
        <v>0</v>
      </c>
      <c r="Y46" s="384" t="n">
        <f aca="false">SUMPRODUCT((Personnel!$P$9:$P$100="FE")*(Personnel!$G$9:$G$100="Yes")*(21&gt;=Personnel!$E$9:$E$100)*((Personnel!$K$9:$K$100="")+(21&lt;=Personnel!$K$9:$K$100)&gt;0))</f>
        <v>0</v>
      </c>
      <c r="Z46" s="384" t="n">
        <f aca="false">SUMPRODUCT((Personnel!$P$9:$P$100="FE")*(Personnel!$G$9:$G$100="Yes")*(22&gt;=Personnel!$E$9:$E$100)*((Personnel!$K$9:$K$100="")+(22&lt;=Personnel!$K$9:$K$100)&gt;0))</f>
        <v>0</v>
      </c>
      <c r="AA46" s="384" t="n">
        <f aca="false">SUMPRODUCT((Personnel!$P$9:$P$100="FE")*(Personnel!$G$9:$G$100="Yes")*(23&gt;=Personnel!$E$9:$E$100)*((Personnel!$K$9:$K$100="")+(23&lt;=Personnel!$K$9:$K$100)&gt;0))</f>
        <v>0</v>
      </c>
      <c r="AB46" s="384" t="n">
        <f aca="false">SUMPRODUCT((Personnel!$P$9:$P$100="FE")*(Personnel!$G$9:$G$100="Yes")*(24&gt;=Personnel!$E$9:$E$100)*((Personnel!$K$9:$K$100="")+(24&lt;=Personnel!$K$9:$K$100)&gt;0))</f>
        <v>0</v>
      </c>
      <c r="AC46" s="384" t="n">
        <f aca="false">SUMPRODUCT((Personnel!$P$9:$P$100="FE")*(Personnel!$G$9:$G$100="Yes")*(25&gt;=Personnel!$E$9:$E$100)*((Personnel!$K$9:$K$100="")+(25&lt;=Personnel!$K$9:$K$100)&gt;0))</f>
        <v>0</v>
      </c>
      <c r="AD46" s="384" t="n">
        <f aca="false">SUMPRODUCT((Personnel!$P$9:$P$100="FE")*(Personnel!$G$9:$G$100="Yes")*(26&gt;=Personnel!$E$9:$E$100)*((Personnel!$K$9:$K$100="")+(26&lt;=Personnel!$K$9:$K$100)&gt;0))</f>
        <v>0</v>
      </c>
      <c r="AE46" s="384" t="n">
        <f aca="false">SUMPRODUCT((Personnel!$P$9:$P$100="FE")*(Personnel!$G$9:$G$100="Yes")*(27&gt;=Personnel!$E$9:$E$100)*((Personnel!$K$9:$K$100="")+(27&lt;=Personnel!$K$9:$K$100)&gt;0))</f>
        <v>0</v>
      </c>
      <c r="AF46" s="384" t="n">
        <f aca="false">SUMPRODUCT((Personnel!$P$9:$P$100="FE")*(Personnel!$G$9:$G$100="Yes")*(28&gt;=Personnel!$E$9:$E$100)*((Personnel!$K$9:$K$100="")+(28&lt;=Personnel!$K$9:$K$100)&gt;0))</f>
        <v>0</v>
      </c>
      <c r="AG46" s="384" t="n">
        <f aca="false">SUMPRODUCT((Personnel!$P$9:$P$100="FE")*(Personnel!$G$9:$G$100="Yes")*(29&gt;=Personnel!$E$9:$E$100)*((Personnel!$K$9:$K$100="")+(29&lt;=Personnel!$K$9:$K$100)&gt;0))</f>
        <v>0</v>
      </c>
      <c r="AH46" s="384" t="n">
        <f aca="false">SUMPRODUCT((Personnel!$P$9:$P$100="FE")*(Personnel!$G$9:$G$100="Yes")*(30&gt;=Personnel!$E$9:$E$100)*((Personnel!$K$9:$K$100="")+(30&lt;=Personnel!$K$9:$K$100)&gt;0))</f>
        <v>0</v>
      </c>
      <c r="AI46" s="384" t="n">
        <f aca="false">SUMPRODUCT((Personnel!$P$9:$P$100="FE")*(Personnel!$G$9:$G$100="Yes")*(31&gt;=Personnel!$E$9:$E$100)*((Personnel!$K$9:$K$100="")+(31&lt;=Personnel!$K$9:$K$100)&gt;0))</f>
        <v>0</v>
      </c>
      <c r="AJ46" s="384" t="n">
        <f aca="false">SUMPRODUCT((Personnel!$P$9:$P$100="FE")*(Personnel!$G$9:$G$100="Yes")*(32&gt;=Personnel!$E$9:$E$100)*((Personnel!$K$9:$K$100="")+(32&lt;=Personnel!$K$9:$K$100)&gt;0))</f>
        <v>0</v>
      </c>
      <c r="AK46" s="384" t="n">
        <f aca="false">SUMPRODUCT((Personnel!$P$9:$P$100="FE")*(Personnel!$G$9:$G$100="Yes")*(33&gt;=Personnel!$E$9:$E$100)*((Personnel!$K$9:$K$100="")+(33&lt;=Personnel!$K$9:$K$100)&gt;0))</f>
        <v>0</v>
      </c>
      <c r="AL46" s="384" t="n">
        <f aca="false">SUMPRODUCT((Personnel!$P$9:$P$100="FE")*(Personnel!$G$9:$G$100="Yes")*(34&gt;=Personnel!$E$9:$E$100)*((Personnel!$K$9:$K$100="")+(34&lt;=Personnel!$K$9:$K$100)&gt;0))</f>
        <v>0</v>
      </c>
      <c r="AM46" s="384" t="n">
        <f aca="false">SUMPRODUCT((Personnel!$P$9:$P$100="FE")*(Personnel!$G$9:$G$100="Yes")*(35&gt;=Personnel!$E$9:$E$100)*((Personnel!$K$9:$K$100="")+(35&lt;=Personnel!$K$9:$K$100)&gt;0))</f>
        <v>0</v>
      </c>
      <c r="AN46" s="384" t="n">
        <f aca="false">SUMPRODUCT((Personnel!$P$9:$P$100="FE")*(Personnel!$G$9:$G$100="Yes")*(36&gt;=Personnel!$E$9:$E$100)*((Personnel!$K$9:$K$100="")+(36&lt;=Personnel!$K$9:$K$100)&gt;0))</f>
        <v>0</v>
      </c>
      <c r="AO46" s="384" t="n">
        <f aca="false">SUMPRODUCT((Personnel!$P$9:$P$100="FE")*(Personnel!$G$9:$G$100="Yes")*(37&gt;=Personnel!$E$9:$E$100)*((Personnel!$K$9:$K$100="")+(37&lt;=Personnel!$K$9:$K$100)&gt;0))</f>
        <v>0</v>
      </c>
      <c r="AP46" s="384" t="n">
        <f aca="false">SUMPRODUCT((Personnel!$P$9:$P$100="FE")*(Personnel!$G$9:$G$100="Yes")*(38&gt;=Personnel!$E$9:$E$100)*((Personnel!$K$9:$K$100="")+(38&lt;=Personnel!$K$9:$K$100)&gt;0))</f>
        <v>0</v>
      </c>
      <c r="AQ46" s="384" t="n">
        <f aca="false">SUMPRODUCT((Personnel!$P$9:$P$100="FE")*(Personnel!$G$9:$G$100="Yes")*(39&gt;=Personnel!$E$9:$E$100)*((Personnel!$K$9:$K$100="")+(39&lt;=Personnel!$K$9:$K$100)&gt;0))</f>
        <v>0</v>
      </c>
      <c r="AR46" s="384" t="n">
        <f aca="false">SUMPRODUCT((Personnel!$P$9:$P$100="FE")*(Personnel!$G$9:$G$100="Yes")*(40&gt;=Personnel!$E$9:$E$100)*((Personnel!$K$9:$K$100="")+(40&lt;=Personnel!$K$9:$K$100)&gt;0))</f>
        <v>0</v>
      </c>
      <c r="AS46" s="384" t="n">
        <f aca="false">SUMPRODUCT((Personnel!$P$9:$P$100="FE")*(Personnel!$G$9:$G$100="Yes")*(41&gt;=Personnel!$E$9:$E$100)*((Personnel!$K$9:$K$100="")+(41&lt;=Personnel!$K$9:$K$100)&gt;0))</f>
        <v>0</v>
      </c>
      <c r="AT46" s="384" t="n">
        <f aca="false">SUMPRODUCT((Personnel!$P$9:$P$100="FE")*(Personnel!$G$9:$G$100="Yes")*(42&gt;=Personnel!$E$9:$E$100)*((Personnel!$K$9:$K$100="")+(42&lt;=Personnel!$K$9:$K$100)&gt;0))</f>
        <v>0</v>
      </c>
      <c r="AU46" s="384" t="n">
        <f aca="false">SUMPRODUCT((Personnel!$P$9:$P$100="FE")*(Personnel!$G$9:$G$100="Yes")*(43&gt;=Personnel!$E$9:$E$100)*((Personnel!$K$9:$K$100="")+(43&lt;=Personnel!$K$9:$K$100)&gt;0))</f>
        <v>0</v>
      </c>
      <c r="AV46" s="384" t="n">
        <f aca="false">SUMPRODUCT((Personnel!$P$9:$P$100="FE")*(Personnel!$G$9:$G$100="Yes")*(44&gt;=Personnel!$E$9:$E$100)*((Personnel!$K$9:$K$100="")+(44&lt;=Personnel!$K$9:$K$100)&gt;0))</f>
        <v>0</v>
      </c>
      <c r="AW46" s="384" t="n">
        <f aca="false">SUMPRODUCT((Personnel!$P$9:$P$100="FE")*(Personnel!$G$9:$G$100="Yes")*(45&gt;=Personnel!$E$9:$E$100)*((Personnel!$K$9:$K$100="")+(45&lt;=Personnel!$K$9:$K$100)&gt;0))</f>
        <v>0</v>
      </c>
      <c r="AX46" s="384" t="n">
        <f aca="false">SUMPRODUCT((Personnel!$P$9:$P$100="FE")*(Personnel!$G$9:$G$100="Yes")*(46&gt;=Personnel!$E$9:$E$100)*((Personnel!$K$9:$K$100="")+(46&lt;=Personnel!$K$9:$K$100)&gt;0))</f>
        <v>0</v>
      </c>
      <c r="AY46" s="384" t="n">
        <f aca="false">SUMPRODUCT((Personnel!$P$9:$P$100="FE")*(Personnel!$G$9:$G$100="Yes")*(47&gt;=Personnel!$E$9:$E$100)*((Personnel!$K$9:$K$100="")+(47&lt;=Personnel!$K$9:$K$100)&gt;0))</f>
        <v>0</v>
      </c>
      <c r="AZ46" s="384" t="n">
        <f aca="false">SUMPRODUCT((Personnel!$P$9:$P$100="FE")*(Personnel!$G$9:$G$100="Yes")*(48&gt;=Personnel!$E$9:$E$100)*((Personnel!$K$9:$K$100="")+(48&lt;=Personnel!$K$9:$K$100)&gt;0))</f>
        <v>0</v>
      </c>
      <c r="BA46" s="384" t="n">
        <f aca="false">SUMPRODUCT((Personnel!$P$9:$P$100="FE")*(Personnel!$G$9:$G$100="Yes")*(49&gt;=Personnel!$E$9:$E$100)*((Personnel!$K$9:$K$100="")+(49&lt;=Personnel!$K$9:$K$100)&gt;0))</f>
        <v>0</v>
      </c>
      <c r="BB46" s="384" t="n">
        <f aca="false">SUMPRODUCT((Personnel!$P$9:$P$100="FE")*(Personnel!$G$9:$G$100="Yes")*(50&gt;=Personnel!$E$9:$E$100)*((Personnel!$K$9:$K$100="")+(50&lt;=Personnel!$K$9:$K$100)&gt;0))</f>
        <v>0</v>
      </c>
      <c r="BC46" s="384" t="n">
        <f aca="false">SUMPRODUCT((Personnel!$P$9:$P$100="FE")*(Personnel!$G$9:$G$100="Yes")*(51&gt;=Personnel!$E$9:$E$100)*((Personnel!$K$9:$K$100="")+(51&lt;=Personnel!$K$9:$K$100)&gt;0))</f>
        <v>0</v>
      </c>
      <c r="BD46" s="384" t="n">
        <f aca="false">SUMPRODUCT((Personnel!$P$9:$P$100="FE")*(Personnel!$G$9:$G$100="Yes")*(52&gt;=Personnel!$E$9:$E$100)*((Personnel!$K$9:$K$100="")+(52&lt;=Personnel!$K$9:$K$100)&gt;0))</f>
        <v>0</v>
      </c>
      <c r="BE46" s="384" t="n">
        <f aca="false">SUMPRODUCT((Personnel!$P$9:$P$100="FE")*(Personnel!$G$9:$G$100="Yes")*(53&gt;=Personnel!$E$9:$E$100)*((Personnel!$K$9:$K$100="")+(53&lt;=Personnel!$K$9:$K$100)&gt;0))</f>
        <v>0</v>
      </c>
      <c r="BF46" s="384" t="n">
        <f aca="false">SUMPRODUCT((Personnel!$P$9:$P$100="FE")*(Personnel!$G$9:$G$100="Yes")*(54&gt;=Personnel!$E$9:$E$100)*((Personnel!$K$9:$K$100="")+(54&lt;=Personnel!$K$9:$K$100)&gt;0))</f>
        <v>0</v>
      </c>
      <c r="BG46" s="384" t="n">
        <f aca="false">SUMPRODUCT((Personnel!$P$9:$P$100="FE")*(Personnel!$G$9:$G$100="Yes")*(55&gt;=Personnel!$E$9:$E$100)*((Personnel!$K$9:$K$100="")+(55&lt;=Personnel!$K$9:$K$100)&gt;0))</f>
        <v>0</v>
      </c>
      <c r="BH46" s="384" t="n">
        <f aca="false">SUMPRODUCT((Personnel!$P$9:$P$100="FE")*(Personnel!$G$9:$G$100="Yes")*(56&gt;=Personnel!$E$9:$E$100)*((Personnel!$K$9:$K$100="")+(56&lt;=Personnel!$K$9:$K$100)&gt;0))</f>
        <v>0</v>
      </c>
      <c r="BI46" s="384" t="n">
        <f aca="false">SUMPRODUCT((Personnel!$P$9:$P$100="FE")*(Personnel!$G$9:$G$100="Yes")*(57&gt;=Personnel!$E$9:$E$100)*((Personnel!$K$9:$K$100="")+(57&lt;=Personnel!$K$9:$K$100)&gt;0))</f>
        <v>0</v>
      </c>
      <c r="BJ46" s="384" t="n">
        <f aca="false">SUMPRODUCT((Personnel!$P$9:$P$100="FE")*(Personnel!$G$9:$G$100="Yes")*(58&gt;=Personnel!$E$9:$E$100)*((Personnel!$K$9:$K$100="")+(58&lt;=Personnel!$K$9:$K$100)&gt;0))</f>
        <v>0</v>
      </c>
      <c r="BK46" s="384" t="n">
        <f aca="false">SUMPRODUCT((Personnel!$P$9:$P$100="FE")*(Personnel!$G$9:$G$100="Yes")*(59&gt;=Personnel!$E$9:$E$100)*((Personnel!$K$9:$K$100="")+(59&lt;=Personnel!$K$9:$K$100)&gt;0))</f>
        <v>0</v>
      </c>
      <c r="BL46" s="384" t="n">
        <f aca="false">SUMPRODUCT((Personnel!$P$9:$P$100="FE")*(Personnel!$G$9:$G$100="Yes")*(60&gt;=Personnel!$E$9:$E$100)*((Personnel!$K$9:$K$100="")+(60&lt;=Personnel!$K$9:$K$100)&gt;0))</f>
        <v>0</v>
      </c>
      <c r="BM46" s="384" t="n">
        <f aca="false">SUMPRODUCT((Personnel!$P$9:$P$100="FE")*(Personnel!$G$9:$G$100="Yes")*(61&gt;=Personnel!$E$9:$E$100)*((Personnel!$K$9:$K$100="")+(61&lt;=Personnel!$K$9:$K$100)&gt;0))</f>
        <v>0</v>
      </c>
      <c r="BN46" s="384" t="n">
        <f aca="false">SUMPRODUCT((Personnel!$P$9:$P$100="FE")*(Personnel!$G$9:$G$100="Yes")*(62&gt;=Personnel!$E$9:$E$100)*((Personnel!$K$9:$K$100="")+(62&lt;=Personnel!$K$9:$K$100)&gt;0))</f>
        <v>0</v>
      </c>
      <c r="BO46" s="384" t="n">
        <f aca="false">SUMPRODUCT((Personnel!$P$9:$P$100="FE")*(Personnel!$G$9:$G$100="Yes")*(63&gt;=Personnel!$E$9:$E$100)*((Personnel!$K$9:$K$100="")+(63&lt;=Personnel!$K$9:$K$100)&gt;0))</f>
        <v>0</v>
      </c>
      <c r="BP46" s="384" t="n">
        <f aca="false">SUMPRODUCT((Personnel!$P$9:$P$100="FE")*(Personnel!$G$9:$G$100="Yes")*(64&gt;=Personnel!$E$9:$E$100)*((Personnel!$K$9:$K$100="")+(64&lt;=Personnel!$K$9:$K$100)&gt;0))</f>
        <v>0</v>
      </c>
      <c r="BQ46" s="384" t="n">
        <f aca="false">SUMPRODUCT((Personnel!$P$9:$P$100="FE")*(Personnel!$G$9:$G$100="Yes")*(65&gt;=Personnel!$E$9:$E$100)*((Personnel!$K$9:$K$100="")+(65&lt;=Personnel!$K$9:$K$100)&gt;0))</f>
        <v>0</v>
      </c>
      <c r="BR46" s="384" t="n">
        <f aca="false">SUMPRODUCT((Personnel!$P$9:$P$100="FE")*(Personnel!$G$9:$G$100="Yes")*(66&gt;=Personnel!$E$9:$E$100)*((Personnel!$K$9:$K$100="")+(66&lt;=Personnel!$K$9:$K$100)&gt;0))</f>
        <v>0</v>
      </c>
      <c r="BS46" s="384" t="n">
        <f aca="false">SUMPRODUCT((Personnel!$P$9:$P$100="FE")*(Personnel!$G$9:$G$100="Yes")*(67&gt;=Personnel!$E$9:$E$100)*((Personnel!$K$9:$K$100="")+(67&lt;=Personnel!$K$9:$K$100)&gt;0))</f>
        <v>0</v>
      </c>
      <c r="BT46" s="384" t="n">
        <f aca="false">SUMPRODUCT((Personnel!$P$9:$P$100="FE")*(Personnel!$G$9:$G$100="Yes")*(68&gt;=Personnel!$E$9:$E$100)*((Personnel!$K$9:$K$100="")+(68&lt;=Personnel!$K$9:$K$100)&gt;0))</f>
        <v>0</v>
      </c>
      <c r="BU46" s="384" t="n">
        <f aca="false">SUMPRODUCT((Personnel!$P$9:$P$100="FE")*(Personnel!$G$9:$G$100="Yes")*(69&gt;=Personnel!$E$9:$E$100)*((Personnel!$K$9:$K$100="")+(69&lt;=Personnel!$K$9:$K$100)&gt;0))</f>
        <v>0</v>
      </c>
      <c r="BV46" s="384" t="n">
        <f aca="false">SUMPRODUCT((Personnel!$P$9:$P$100="FE")*(Personnel!$G$9:$G$100="Yes")*(70&gt;=Personnel!$E$9:$E$100)*((Personnel!$K$9:$K$100="")+(70&lt;=Personnel!$K$9:$K$100)&gt;0))</f>
        <v>0</v>
      </c>
      <c r="BW46" s="384" t="n">
        <f aca="false">SUMPRODUCT((Personnel!$P$9:$P$100="FE")*(Personnel!$G$9:$G$100="Yes")*(71&gt;=Personnel!$E$9:$E$100)*((Personnel!$K$9:$K$100="")+(71&lt;=Personnel!$K$9:$K$100)&gt;0))</f>
        <v>0</v>
      </c>
      <c r="BX46" s="384" t="n">
        <f aca="false">SUMPRODUCT((Personnel!$P$9:$P$100="FE")*(Personnel!$G$9:$G$100="Yes")*(72&gt;=Personnel!$E$9:$E$100)*((Personnel!$K$9:$K$100="")+(72&lt;=Personnel!$K$9:$K$100)&gt;0))</f>
        <v>0</v>
      </c>
      <c r="BY46" s="384" t="n">
        <f aca="false">SUMPRODUCT((Personnel!$P$9:$P$100="FE")*(Personnel!$G$9:$G$100="Yes")*(73&gt;=Personnel!$E$9:$E$100)*((Personnel!$K$9:$K$100="")+(73&lt;=Personnel!$K$9:$K$100)&gt;0))</f>
        <v>0</v>
      </c>
      <c r="BZ46" s="384" t="n">
        <f aca="false">SUMPRODUCT((Personnel!$P$9:$P$100="FE")*(Personnel!$G$9:$G$100="Yes")*(74&gt;=Personnel!$E$9:$E$100)*((Personnel!$K$9:$K$100="")+(74&lt;=Personnel!$K$9:$K$100)&gt;0))</f>
        <v>0</v>
      </c>
      <c r="CA46" s="384" t="n">
        <f aca="false">SUMPRODUCT((Personnel!$P$9:$P$100="FE")*(Personnel!$G$9:$G$100="Yes")*(75&gt;=Personnel!$E$9:$E$100)*((Personnel!$K$9:$K$100="")+(75&lt;=Personnel!$K$9:$K$100)&gt;0))</f>
        <v>0</v>
      </c>
      <c r="CB46" s="384" t="n">
        <f aca="false">SUMPRODUCT((Personnel!$P$9:$P$100="FE")*(Personnel!$G$9:$G$100="Yes")*(76&gt;=Personnel!$E$9:$E$100)*((Personnel!$K$9:$K$100="")+(76&lt;=Personnel!$K$9:$K$100)&gt;0))</f>
        <v>0</v>
      </c>
      <c r="CC46" s="384" t="n">
        <f aca="false">SUMPRODUCT((Personnel!$P$9:$P$100="FE")*(Personnel!$G$9:$G$100="Yes")*(77&gt;=Personnel!$E$9:$E$100)*((Personnel!$K$9:$K$100="")+(77&lt;=Personnel!$K$9:$K$100)&gt;0))</f>
        <v>0</v>
      </c>
      <c r="CD46" s="384" t="n">
        <f aca="false">SUMPRODUCT((Personnel!$P$9:$P$100="FE")*(Personnel!$G$9:$G$100="Yes")*(78&gt;=Personnel!$E$9:$E$100)*((Personnel!$K$9:$K$100="")+(78&lt;=Personnel!$K$9:$K$100)&gt;0))</f>
        <v>0</v>
      </c>
      <c r="CE46" s="384" t="n">
        <f aca="false">SUMPRODUCT((Personnel!$P$9:$P$100="FE")*(Personnel!$G$9:$G$100="Yes")*(79&gt;=Personnel!$E$9:$E$100)*((Personnel!$K$9:$K$100="")+(79&lt;=Personnel!$K$9:$K$100)&gt;0))</f>
        <v>0</v>
      </c>
      <c r="CF46" s="384" t="n">
        <f aca="false">SUMPRODUCT((Personnel!$P$9:$P$100="FE")*(Personnel!$G$9:$G$100="Yes")*(80&gt;=Personnel!$E$9:$E$100)*((Personnel!$K$9:$K$100="")+(80&lt;=Personnel!$K$9:$K$100)&gt;0))</f>
        <v>0</v>
      </c>
      <c r="CG46" s="384" t="n">
        <f aca="false">SUMPRODUCT((Personnel!$P$9:$P$100="FE")*(Personnel!$G$9:$G$100="Yes")*(81&gt;=Personnel!$E$9:$E$100)*((Personnel!$K$9:$K$100="")+(81&lt;=Personnel!$K$9:$K$100)&gt;0))</f>
        <v>0</v>
      </c>
      <c r="CH46" s="384" t="n">
        <f aca="false">SUMPRODUCT((Personnel!$P$9:$P$100="FE")*(Personnel!$G$9:$G$100="Yes")*(82&gt;=Personnel!$E$9:$E$100)*((Personnel!$K$9:$K$100="")+(82&lt;=Personnel!$K$9:$K$100)&gt;0))</f>
        <v>0</v>
      </c>
      <c r="CI46" s="384" t="n">
        <f aca="false">SUMPRODUCT((Personnel!$P$9:$P$100="FE")*(Personnel!$G$9:$G$100="Yes")*(83&gt;=Personnel!$E$9:$E$100)*((Personnel!$K$9:$K$100="")+(83&lt;=Personnel!$K$9:$K$100)&gt;0))</f>
        <v>0</v>
      </c>
      <c r="CJ46" s="384" t="n">
        <f aca="false">SUMPRODUCT((Personnel!$P$9:$P$100="FE")*(Personnel!$G$9:$G$100="Yes")*(84&gt;=Personnel!$E$9:$E$100)*((Personnel!$K$9:$K$100="")+(84&lt;=Personnel!$K$9:$K$100)&gt;0))</f>
        <v>0</v>
      </c>
      <c r="CK46" s="384" t="n">
        <f aca="false">SUMPRODUCT((Personnel!$P$9:$P$100="FE")*(Personnel!$G$9:$G$100="Yes")*(85&gt;=Personnel!$E$9:$E$100)*((Personnel!$K$9:$K$100="")+(85&lt;=Personnel!$K$9:$K$100)&gt;0))</f>
        <v>0</v>
      </c>
      <c r="CL46" s="384" t="n">
        <f aca="false">SUMPRODUCT((Personnel!$P$9:$P$100="FE")*(Personnel!$G$9:$G$100="Yes")*(86&gt;=Personnel!$E$9:$E$100)*((Personnel!$K$9:$K$100="")+(86&lt;=Personnel!$K$9:$K$100)&gt;0))</f>
        <v>0</v>
      </c>
      <c r="CM46" s="384" t="n">
        <f aca="false">SUMPRODUCT((Personnel!$P$9:$P$100="FE")*(Personnel!$G$9:$G$100="Yes")*(87&gt;=Personnel!$E$9:$E$100)*((Personnel!$K$9:$K$100="")+(87&lt;=Personnel!$K$9:$K$100)&gt;0))</f>
        <v>0</v>
      </c>
      <c r="CN46" s="384" t="n">
        <f aca="false">SUMPRODUCT((Personnel!$P$9:$P$100="FE")*(Personnel!$G$9:$G$100="Yes")*(88&gt;=Personnel!$E$9:$E$100)*((Personnel!$K$9:$K$100="")+(88&lt;=Personnel!$K$9:$K$100)&gt;0))</f>
        <v>0</v>
      </c>
      <c r="CO46" s="384" t="n">
        <f aca="false">SUMPRODUCT((Personnel!$P$9:$P$100="FE")*(Personnel!$G$9:$G$100="Yes")*(89&gt;=Personnel!$E$9:$E$100)*((Personnel!$K$9:$K$100="")+(89&lt;=Personnel!$K$9:$K$100)&gt;0))</f>
        <v>0</v>
      </c>
      <c r="CP46" s="384" t="n">
        <f aca="false">SUMPRODUCT((Personnel!$P$9:$P$100="FE")*(Personnel!$G$9:$G$100="Yes")*(90&gt;=Personnel!$E$9:$E$100)*((Personnel!$K$9:$K$100="")+(90&lt;=Personnel!$K$9:$K$100)&gt;0))</f>
        <v>0</v>
      </c>
      <c r="CQ46" s="384" t="n">
        <f aca="false">SUMPRODUCT((Personnel!$P$9:$P$100="FE")*(Personnel!$G$9:$G$100="Yes")*(91&gt;=Personnel!$E$9:$E$100)*((Personnel!$K$9:$K$100="")+(91&lt;=Personnel!$K$9:$K$100)&gt;0))</f>
        <v>0</v>
      </c>
      <c r="CR46" s="384" t="n">
        <f aca="false">SUMPRODUCT((Personnel!$P$9:$P$100="FE")*(Personnel!$G$9:$G$100="Yes")*(92&gt;=Personnel!$E$9:$E$100)*((Personnel!$K$9:$K$100="")+(92&lt;=Personnel!$K$9:$K$100)&gt;0))</f>
        <v>0</v>
      </c>
      <c r="CS46" s="384" t="n">
        <f aca="false">SUMPRODUCT((Personnel!$P$9:$P$100="FE")*(Personnel!$G$9:$G$100="Yes")*(93&gt;=Personnel!$E$9:$E$100)*((Personnel!$K$9:$K$100="")+(93&lt;=Personnel!$K$9:$K$100)&gt;0))</f>
        <v>0</v>
      </c>
      <c r="CT46" s="384" t="n">
        <f aca="false">SUMPRODUCT((Personnel!$P$9:$P$100="FE")*(Personnel!$G$9:$G$100="Yes")*(94&gt;=Personnel!$E$9:$E$100)*((Personnel!$K$9:$K$100="")+(94&lt;=Personnel!$K$9:$K$100)&gt;0))</f>
        <v>0</v>
      </c>
      <c r="CU46" s="384" t="n">
        <f aca="false">SUMPRODUCT((Personnel!$P$9:$P$100="FE")*(Personnel!$G$9:$G$100="Yes")*(95&gt;=Personnel!$E$9:$E$100)*((Personnel!$K$9:$K$100="")+(95&lt;=Personnel!$K$9:$K$100)&gt;0))</f>
        <v>0</v>
      </c>
      <c r="CV46" s="384" t="n">
        <f aca="false">SUMPRODUCT((Personnel!$P$9:$P$100="FE")*(Personnel!$G$9:$G$100="Yes")*(96&gt;=Personnel!$E$9:$E$100)*((Personnel!$K$9:$K$100="")+(96&lt;=Personnel!$K$9:$K$100)&gt;0))</f>
        <v>0</v>
      </c>
      <c r="CW46" s="384" t="n">
        <f aca="false">SUMPRODUCT((Personnel!$P$9:$P$100="FE")*(Personnel!$G$9:$G$100="Yes")*(97&gt;=Personnel!$E$9:$E$100)*((Personnel!$K$9:$K$100="")+(97&lt;=Personnel!$K$9:$K$100)&gt;0))</f>
        <v>0</v>
      </c>
      <c r="CX46" s="384" t="n">
        <f aca="false">SUMPRODUCT((Personnel!$P$9:$P$100="FE")*(Personnel!$G$9:$G$100="Yes")*(98&gt;=Personnel!$E$9:$E$100)*((Personnel!$K$9:$K$100="")+(98&lt;=Personnel!$K$9:$K$100)&gt;0))</f>
        <v>0</v>
      </c>
      <c r="CY46" s="384" t="n">
        <f aca="false">SUMPRODUCT((Personnel!$P$9:$P$100="FE")*(Personnel!$G$9:$G$100="Yes")*(99&gt;=Personnel!$E$9:$E$100)*((Personnel!$K$9:$K$100="")+(99&lt;=Personnel!$K$9:$K$100)&gt;0))</f>
        <v>0</v>
      </c>
      <c r="CZ46" s="384" t="n">
        <f aca="false">SUMPRODUCT((Personnel!$P$9:$P$100="FE")*(Personnel!$G$9:$G$100="Yes")*(100&gt;=Personnel!$E$9:$E$100)*((Personnel!$K$9:$K$100="")+(100&lt;=Personnel!$K$9:$K$100)&gt;0))</f>
        <v>0</v>
      </c>
      <c r="DA46" s="384" t="n">
        <f aca="false">SUMPRODUCT((Personnel!$P$9:$P$100="FE")*(Personnel!$G$9:$G$100="Yes")*(101&gt;=Personnel!$E$9:$E$100)*((Personnel!$K$9:$K$100="")+(101&lt;=Personnel!$K$9:$K$100)&gt;0))</f>
        <v>0</v>
      </c>
      <c r="DB46" s="384" t="n">
        <f aca="false">SUMPRODUCT((Personnel!$P$9:$P$100="FE")*(Personnel!$G$9:$G$100="Yes")*(102&gt;=Personnel!$E$9:$E$100)*((Personnel!$K$9:$K$100="")+(102&lt;=Personnel!$K$9:$K$100)&gt;0))</f>
        <v>0</v>
      </c>
      <c r="DC46" s="384" t="n">
        <f aca="false">SUMPRODUCT((Personnel!$P$9:$P$100="FE")*(Personnel!$G$9:$G$100="Yes")*(103&gt;=Personnel!$E$9:$E$100)*((Personnel!$K$9:$K$100="")+(103&lt;=Personnel!$K$9:$K$100)&gt;0))</f>
        <v>0</v>
      </c>
      <c r="DD46" s="384" t="n">
        <f aca="false">SUMPRODUCT((Personnel!$P$9:$P$100="FE")*(Personnel!$G$9:$G$100="Yes")*(104&gt;=Personnel!$E$9:$E$100)*((Personnel!$K$9:$K$100="")+(104&lt;=Personnel!$K$9:$K$100)&gt;0))</f>
        <v>0</v>
      </c>
      <c r="DE46" s="384" t="n">
        <f aca="false">SUMPRODUCT((Personnel!$P$9:$P$100="FE")*(Personnel!$G$9:$G$100="Yes")*(105&gt;=Personnel!$E$9:$E$100)*((Personnel!$K$9:$K$100="")+(105&lt;=Personnel!$K$9:$K$100)&gt;0))</f>
        <v>0</v>
      </c>
    </row>
    <row r="48" customFormat="false" ht="13.5" hidden="false" customHeight="true" outlineLevel="0" collapsed="false">
      <c r="A48" s="211" t="s">
        <v>1384</v>
      </c>
      <c r="B48" s="212"/>
      <c r="C48" s="212"/>
      <c r="D48" s="212"/>
      <c r="E48" s="212"/>
      <c r="F48" s="212"/>
    </row>
    <row r="49" customFormat="false" ht="13.5" hidden="false" customHeight="true" outlineLevel="0" collapsed="false">
      <c r="A49" s="110" t="s">
        <v>1385</v>
      </c>
      <c r="B49" s="213" t="n">
        <f aca="false">$B$26</f>
        <v>160000</v>
      </c>
      <c r="E49" s="385" t="n">
        <f aca="false">IF(1&lt;5,0,IF(MAX(E38)&gt;E43+0+$B$18,1,0))</f>
        <v>0</v>
      </c>
      <c r="F49" s="385" t="n">
        <f aca="false">IF(2&lt;5,0,IF(MAX(E38:F38)&gt;F43+0+$B$18,1,0))</f>
        <v>0</v>
      </c>
      <c r="G49" s="385" t="n">
        <f aca="false">IF(3&lt;5,0,IF(MAX(E38:G38)&gt;G43+0+$B$18,1,0))</f>
        <v>0</v>
      </c>
      <c r="H49" s="385" t="n">
        <f aca="false">IF(4&lt;5,0,IF(MAX(E38:H38)&gt;H43+0+$B$18,1,0))</f>
        <v>0</v>
      </c>
      <c r="I49" s="385" t="n">
        <f aca="false">IF(5&lt;5,0,IF(MAX(E38:I38)&gt;I43+0+$B$18,1,0))</f>
        <v>0</v>
      </c>
      <c r="J49" s="385" t="n">
        <f aca="false">IF(6&lt;5,0,IF(MAX(E38:J38)&gt;J43+0+$B$18,1,0))</f>
        <v>0</v>
      </c>
      <c r="K49" s="385" t="n">
        <f aca="false">IF(7&lt;5,0,IF(MAX(F38:K38)&gt;K43+0+$B$18,1,0))</f>
        <v>0</v>
      </c>
      <c r="L49" s="385" t="n">
        <f aca="false">IF(8&lt;5,0,IF(MAX(G38:L38)&gt;L43+0+$B$18,1,0))</f>
        <v>0</v>
      </c>
      <c r="M49" s="385" t="n">
        <f aca="false">IF(9&lt;5,0,IF(MAX(H38:M38)&gt;M43+0+$B$18,1,0))</f>
        <v>1</v>
      </c>
      <c r="N49" s="385" t="n">
        <f aca="false">IF(10&lt;5,0,IF(MAX(I38:N38)&gt;N43+0+$B$18,1,0))</f>
        <v>1</v>
      </c>
      <c r="O49" s="385" t="n">
        <f aca="false">IF(11&lt;5,0,IF(MAX(J38:O38)&gt;O43+0+$B$18,1,0))</f>
        <v>1</v>
      </c>
      <c r="P49" s="385" t="n">
        <f aca="false">IF(12&lt;5,0,IF(MAX(K38:P38)&gt;P43+0+$B$18,1,0))</f>
        <v>1</v>
      </c>
      <c r="Q49" s="385" t="n">
        <f aca="false">IF(13&lt;5,0,IF(MAX(L38:Q38)&gt;Q43+0+$B$18,1,0))</f>
        <v>1</v>
      </c>
      <c r="R49" s="385" t="n">
        <f aca="false">IF(14&lt;5,0,IF(MAX(M38:R38)&gt;R43+0+$B$18,1,0))</f>
        <v>1</v>
      </c>
      <c r="S49" s="385" t="n">
        <f aca="false">IF(15&lt;5,0,IF(MAX(N38:S38)&gt;S43+0+$B$18,1,0))</f>
        <v>1</v>
      </c>
      <c r="T49" s="385" t="n">
        <f aca="false">IF(16&lt;5,0,IF(MAX(O38:T38)&gt;T43+0+$B$18,1,0))</f>
        <v>1</v>
      </c>
      <c r="U49" s="385" t="n">
        <f aca="false">IF(17&lt;5,0,IF(MAX(P38:U38)&gt;U43+0+$B$18,1,0))</f>
        <v>1</v>
      </c>
      <c r="V49" s="385" t="n">
        <f aca="false">IF(18&lt;5,0,IF(MAX(Q38:V38)&gt;V43+0+$B$18,1,0))</f>
        <v>1</v>
      </c>
      <c r="W49" s="385" t="n">
        <f aca="false">IF(19&lt;5,0,IF(MAX(R38:W38)&gt;W43+0+$B$18,1,0))</f>
        <v>1</v>
      </c>
      <c r="X49" s="385" t="n">
        <f aca="false">IF(20&lt;5,0,IF(MAX(S38:X38)&gt;X43+0+$B$18,1,0))</f>
        <v>1</v>
      </c>
      <c r="Y49" s="385" t="n">
        <f aca="false">IF(21&lt;5,0,IF(MAX(T38:Y38)&gt;Y43+0+$B$18,1,0))</f>
        <v>1</v>
      </c>
      <c r="Z49" s="385" t="n">
        <f aca="false">IF(22&lt;5,0,IF(MAX(U38:Z38)&gt;Z43+0+$B$18,1,0))</f>
        <v>1</v>
      </c>
      <c r="AA49" s="385" t="n">
        <f aca="false">IF(23&lt;5,0,IF(MAX(V38:AA38)&gt;AA43+0+$B$18,1,0))</f>
        <v>1</v>
      </c>
      <c r="AB49" s="385" t="n">
        <f aca="false">IF(24&lt;5,0,IF(MAX(W38:AB38)&gt;AB43+0+$B$18,1,0))</f>
        <v>1</v>
      </c>
      <c r="AC49" s="385" t="n">
        <f aca="false">IF(25&lt;5,0,IF(MAX(X38:AC38)&gt;AC43+0+$B$18,1,0))</f>
        <v>0</v>
      </c>
      <c r="AD49" s="385" t="n">
        <f aca="false">IF(26&lt;5,0,IF(MAX(Y38:AD38)&gt;AD43+0+$B$18,1,0))</f>
        <v>0</v>
      </c>
      <c r="AE49" s="385" t="n">
        <f aca="false">IF(27&lt;5,0,IF(MAX(Z38:AE38)&gt;AE43+0+$B$18,1,0))</f>
        <v>0</v>
      </c>
      <c r="AF49" s="385" t="n">
        <f aca="false">IF(28&lt;5,0,IF(MAX(AA38:AF38)&gt;AF43+0+$B$18,1,0))</f>
        <v>0</v>
      </c>
      <c r="AG49" s="385" t="n">
        <f aca="false">IF(29&lt;5,0,IF(MAX(AB38:AG38)&gt;AG43+0+$B$18,1,0))</f>
        <v>0</v>
      </c>
      <c r="AH49" s="385" t="n">
        <f aca="false">IF(30&lt;5,0,IF(MAX(AC38:AH38)&gt;AH43+0+$B$18,1,0))</f>
        <v>0</v>
      </c>
      <c r="AI49" s="385" t="n">
        <f aca="false">IF(31&lt;5,0,IF(MAX(AD38:AI38)&gt;AI43+0+$B$18,1,0))</f>
        <v>0</v>
      </c>
      <c r="AJ49" s="385" t="n">
        <f aca="false">IF(32&lt;5,0,IF(MAX(AE38:AJ38)&gt;AJ43+0+$B$18,1,0))</f>
        <v>0</v>
      </c>
      <c r="AK49" s="385" t="n">
        <f aca="false">IF(33&lt;5,0,IF(MAX(AF38:AK38)&gt;AK43+0+$B$18,1,0))</f>
        <v>0</v>
      </c>
      <c r="AL49" s="385" t="n">
        <f aca="false">IF(34&lt;5,0,IF(MAX(AG38:AL38)&gt;AL43+0+$B$18,1,0))</f>
        <v>0</v>
      </c>
      <c r="AM49" s="385" t="n">
        <f aca="false">IF(35&lt;5,0,IF(MAX(AH38:AM38)&gt;AM43+0+$B$18,1,0))</f>
        <v>0</v>
      </c>
      <c r="AN49" s="385" t="n">
        <f aca="false">IF(36&lt;5,0,IF(MAX(AI38:AN38)&gt;AN43+0+$B$18,1,0))</f>
        <v>0</v>
      </c>
      <c r="AO49" s="385" t="n">
        <f aca="false">IF(37&lt;5,0,IF(MAX(AJ38:AO38)&gt;AO43+0+$B$18,1,0))</f>
        <v>0</v>
      </c>
      <c r="AP49" s="385" t="n">
        <f aca="false">IF(38&lt;5,0,IF(MAX(AK38:AP38)&gt;AP43+0+$B$18,1,0))</f>
        <v>0</v>
      </c>
      <c r="AQ49" s="385" t="n">
        <f aca="false">IF(39&lt;5,0,IF(MAX(AL38:AQ38)&gt;AQ43+0+$B$18,1,0))</f>
        <v>0</v>
      </c>
      <c r="AR49" s="385" t="n">
        <f aca="false">IF(40&lt;5,0,IF(MAX(AM38:AR38)&gt;AR43+0+$B$18,1,0))</f>
        <v>0</v>
      </c>
      <c r="AS49" s="385" t="n">
        <f aca="false">IF(41&lt;5,0,IF(MAX(AN38:AS38)&gt;AS43+0+$B$18,1,0))</f>
        <v>0</v>
      </c>
      <c r="AT49" s="385" t="n">
        <f aca="false">IF(42&lt;5,0,IF(MAX(AO38:AT38)&gt;AT43+0+$B$18,1,0))</f>
        <v>0</v>
      </c>
      <c r="AU49" s="385" t="n">
        <f aca="false">IF(43&lt;5,0,IF(MAX(AP38:AU38)&gt;AU43+0+$B$18,1,0))</f>
        <v>0</v>
      </c>
      <c r="AV49" s="385" t="n">
        <f aca="false">IF(44&lt;5,0,IF(MAX(AQ38:AV38)&gt;AV43+0+$B$18,1,0))</f>
        <v>0</v>
      </c>
      <c r="AW49" s="385" t="n">
        <f aca="false">IF(45&lt;5,0,IF(MAX(AR38:AW38)&gt;AW43+0+$B$18,1,0))</f>
        <v>0</v>
      </c>
      <c r="AX49" s="385" t="n">
        <f aca="false">IF(46&lt;5,0,IF(MAX(AS38:AX38)&gt;AX43+0+$B$18,1,0))</f>
        <v>0</v>
      </c>
      <c r="AY49" s="385" t="n">
        <f aca="false">IF(47&lt;5,0,IF(MAX(AT38:AY38)&gt;AY43+0+$B$18,1,0))</f>
        <v>0</v>
      </c>
      <c r="AZ49" s="385" t="n">
        <f aca="false">IF(48&lt;5,0,IF(MAX(AU38:AZ38)&gt;AZ43+0+$B$18,1,0))</f>
        <v>0</v>
      </c>
      <c r="BA49" s="385" t="n">
        <f aca="false">IF(49&lt;5,0,IF(MAX(AV38:BA38)&gt;BA43+0+$B$18,1,0))</f>
        <v>0</v>
      </c>
      <c r="BB49" s="385" t="n">
        <f aca="false">IF(50&lt;5,0,IF(MAX(AW38:BB38)&gt;BB43+0+$B$18,1,0))</f>
        <v>0</v>
      </c>
      <c r="BC49" s="385" t="n">
        <f aca="false">IF(51&lt;5,0,IF(MAX(AX38:BC38)&gt;BC43+0+$B$18,1,0))</f>
        <v>0</v>
      </c>
      <c r="BD49" s="385" t="n">
        <f aca="false">IF(52&lt;5,0,IF(MAX(AY38:BD38)&gt;BD43+0+$B$18,1,0))</f>
        <v>0</v>
      </c>
      <c r="BE49" s="385" t="n">
        <f aca="false">IF(53&lt;5,0,IF(MAX(AZ38:BE38)&gt;BE43+0+$B$18,1,0))</f>
        <v>0</v>
      </c>
      <c r="BF49" s="385" t="n">
        <f aca="false">IF(54&lt;5,0,IF(MAX(BA38:BF38)&gt;BF43+0+$B$18,1,0))</f>
        <v>0</v>
      </c>
      <c r="BG49" s="385" t="n">
        <f aca="false">IF(55&lt;5,0,IF(MAX(BB38:BG38)&gt;BG43+0+$B$18,1,0))</f>
        <v>0</v>
      </c>
      <c r="BH49" s="385" t="n">
        <f aca="false">IF(56&lt;5,0,IF(MAX(BC38:BH38)&gt;BH43+0+$B$18,1,0))</f>
        <v>0</v>
      </c>
      <c r="BI49" s="385" t="n">
        <f aca="false">IF(57&lt;5,0,IF(MAX(BD38:BI38)&gt;BI43+0+$B$18,1,0))</f>
        <v>0</v>
      </c>
      <c r="BJ49" s="385" t="n">
        <f aca="false">IF(58&lt;5,0,IF(MAX(BE38:BJ38)&gt;BJ43+0+$B$18,1,0))</f>
        <v>0</v>
      </c>
      <c r="BK49" s="385" t="n">
        <f aca="false">IF(59&lt;5,0,IF(MAX(BF38:BK38)&gt;BK43+0+$B$18,1,0))</f>
        <v>0</v>
      </c>
      <c r="BL49" s="385" t="n">
        <f aca="false">IF(60&lt;5,0,IF(MAX(BG38:BL38)&gt;BL43+0+$B$18,1,0))</f>
        <v>0</v>
      </c>
      <c r="BM49" s="385" t="n">
        <f aca="false">IF(61&lt;5,0,IF(MAX(BH38:BM38)&gt;BM43+0+$B$18,1,0))</f>
        <v>0</v>
      </c>
      <c r="BN49" s="385" t="n">
        <f aca="false">IF(62&lt;5,0,IF(MAX(BI38:BN38)&gt;BN43+0+$B$18,1,0))</f>
        <v>0</v>
      </c>
      <c r="BO49" s="385" t="n">
        <f aca="false">IF(63&lt;5,0,IF(MAX(BJ38:BO38)&gt;BO43+0+$B$18,1,0))</f>
        <v>0</v>
      </c>
      <c r="BP49" s="385" t="n">
        <f aca="false">IF(64&lt;5,0,IF(MAX(BK38:BP38)&gt;BP43+0+$B$18,1,0))</f>
        <v>0</v>
      </c>
      <c r="BQ49" s="385" t="n">
        <f aca="false">IF(65&lt;5,0,IF(MAX(BL38:BQ38)&gt;BQ43+0+$B$18,1,0))</f>
        <v>0</v>
      </c>
      <c r="BR49" s="385" t="n">
        <f aca="false">IF(66&lt;5,0,IF(MAX(BM38:BR38)&gt;BR43+0+$B$18,1,0))</f>
        <v>0</v>
      </c>
      <c r="BS49" s="385" t="n">
        <f aca="false">IF(67&lt;5,0,IF(MAX(BN38:BS38)&gt;BS43+0+$B$18,1,0))</f>
        <v>0</v>
      </c>
      <c r="BT49" s="385" t="n">
        <f aca="false">IF(68&lt;5,0,IF(MAX(BO38:BT38)&gt;BT43+0+$B$18,1,0))</f>
        <v>0</v>
      </c>
      <c r="BU49" s="385" t="n">
        <f aca="false">IF(69&lt;5,0,IF(MAX(BP38:BU38)&gt;BU43+0+$B$18,1,0))</f>
        <v>0</v>
      </c>
      <c r="BV49" s="385" t="n">
        <f aca="false">IF(70&lt;5,0,IF(MAX(BQ38:BV38)&gt;BV43+0+$B$18,1,0))</f>
        <v>0</v>
      </c>
      <c r="BW49" s="385" t="n">
        <f aca="false">IF(71&lt;5,0,IF(MAX(BR38:BW38)&gt;BW43+0+$B$18,1,0))</f>
        <v>0</v>
      </c>
      <c r="BX49" s="385" t="n">
        <f aca="false">IF(72&lt;5,0,IF(MAX(BS38:BX38)&gt;BX43+0+$B$18,1,0))</f>
        <v>0</v>
      </c>
      <c r="BY49" s="385" t="n">
        <f aca="false">IF(73&lt;5,0,IF(MAX(BT38:BY38)&gt;BY43+0+$B$18,1,0))</f>
        <v>0</v>
      </c>
      <c r="BZ49" s="385" t="n">
        <f aca="false">IF(74&lt;5,0,IF(MAX(BU38:BZ38)&gt;BZ43+0+$B$18,1,0))</f>
        <v>0</v>
      </c>
      <c r="CA49" s="385" t="n">
        <f aca="false">IF(75&lt;5,0,IF(MAX(BV38:CA38)&gt;CA43+0+$B$18,1,0))</f>
        <v>0</v>
      </c>
      <c r="CB49" s="385" t="n">
        <f aca="false">IF(76&lt;5,0,IF(MAX(BW38:CB38)&gt;CB43+0+$B$18,1,0))</f>
        <v>0</v>
      </c>
      <c r="CC49" s="385" t="n">
        <f aca="false">IF(77&lt;5,0,IF(MAX(BX38:CC38)&gt;CC43+0+$B$18,1,0))</f>
        <v>0</v>
      </c>
      <c r="CD49" s="385" t="n">
        <f aca="false">IF(78&lt;5,0,IF(MAX(BY38:CD38)&gt;CD43+0+$B$18,1,0))</f>
        <v>0</v>
      </c>
      <c r="CE49" s="385" t="n">
        <f aca="false">IF(79&lt;5,0,IF(MAX(BZ38:CE38)&gt;CE43+0+$B$18,1,0))</f>
        <v>0</v>
      </c>
      <c r="CF49" s="385" t="n">
        <f aca="false">IF(80&lt;5,0,IF(MAX(CA38:CF38)&gt;CF43+0+$B$18,1,0))</f>
        <v>0</v>
      </c>
      <c r="CG49" s="385" t="n">
        <f aca="false">IF(81&lt;5,0,IF(MAX(CB38:CG38)&gt;CG43+0+$B$18,1,0))</f>
        <v>0</v>
      </c>
      <c r="CH49" s="385" t="n">
        <f aca="false">IF(82&lt;5,0,IF(MAX(CC38:CH38)&gt;CH43+0+$B$18,1,0))</f>
        <v>0</v>
      </c>
      <c r="CI49" s="385" t="n">
        <f aca="false">IF(83&lt;5,0,IF(MAX(CD38:CI38)&gt;CI43+0+$B$18,1,0))</f>
        <v>0</v>
      </c>
      <c r="CJ49" s="385" t="n">
        <f aca="false">IF(84&lt;5,0,IF(MAX(CE38:CJ38)&gt;CJ43+0+$B$18,1,0))</f>
        <v>0</v>
      </c>
      <c r="CK49" s="385" t="n">
        <f aca="false">IF(85&lt;5,0,IF(MAX(CF38:CK38)&gt;CK43+0+$B$18,1,0))</f>
        <v>0</v>
      </c>
      <c r="CL49" s="385" t="n">
        <f aca="false">IF(86&lt;5,0,IF(MAX(CG38:CL38)&gt;CL43+0+$B$18,1,0))</f>
        <v>0</v>
      </c>
      <c r="CM49" s="385" t="n">
        <f aca="false">IF(87&lt;5,0,IF(MAX(CH38:CM38)&gt;CM43+0+$B$18,1,0))</f>
        <v>0</v>
      </c>
      <c r="CN49" s="385" t="n">
        <f aca="false">IF(88&lt;5,0,IF(MAX(CI38:CN38)&gt;CN43+0+$B$18,1,0))</f>
        <v>0</v>
      </c>
      <c r="CO49" s="385" t="n">
        <f aca="false">IF(89&lt;5,0,IF(MAX(CJ38:CO38)&gt;CO43+0+$B$18,1,0))</f>
        <v>0</v>
      </c>
      <c r="CP49" s="385" t="n">
        <f aca="false">IF(90&lt;5,0,IF(MAX(CK38:CP38)&gt;CP43+0+$B$18,1,0))</f>
        <v>0</v>
      </c>
      <c r="CQ49" s="385" t="n">
        <f aca="false">IF(91&lt;5,0,IF(MAX(CL38:CQ38)&gt;CQ43+0+$B$18,1,0))</f>
        <v>0</v>
      </c>
      <c r="CR49" s="385" t="n">
        <f aca="false">IF(92&lt;5,0,IF(MAX(CM38:CR38)&gt;CR43+0+$B$18,1,0))</f>
        <v>0</v>
      </c>
      <c r="CS49" s="385" t="n">
        <f aca="false">IF(93&lt;5,0,IF(MAX(CN38:CS38)&gt;CS43+0+$B$18,1,0))</f>
        <v>0</v>
      </c>
      <c r="CT49" s="385" t="n">
        <f aca="false">IF(94&lt;5,0,IF(MAX(CO38:CT38)&gt;CT43+0+$B$18,1,0))</f>
        <v>0</v>
      </c>
      <c r="CU49" s="385" t="n">
        <f aca="false">IF(95&lt;5,0,IF(MAX(CP38:CU38)&gt;CU43+0+$B$18,1,0))</f>
        <v>0</v>
      </c>
      <c r="CV49" s="385" t="n">
        <f aca="false">IF(96&lt;5,0,IF(MAX(CQ38:CV38)&gt;CV43+0+$B$18,1,0))</f>
        <v>0</v>
      </c>
      <c r="CW49" s="385" t="n">
        <f aca="false">IF(97&lt;5,0,IF(MAX(CR38:CW38)&gt;CW43+0+$B$18,1,0))</f>
        <v>0</v>
      </c>
      <c r="CX49" s="385" t="n">
        <f aca="false">IF(98&lt;5,0,IF(MAX(CS38:CX38)&gt;CX43+0+$B$18,1,0))</f>
        <v>0</v>
      </c>
      <c r="CY49" s="385" t="n">
        <f aca="false">IF(99&lt;5,0,IF(MAX(CT38:CY38)&gt;CY43+0+$B$18,1,0))</f>
        <v>0</v>
      </c>
      <c r="CZ49" s="385" t="n">
        <f aca="false">IF(100&lt;5,0,IF(MAX(CU38:CZ38)&gt;CZ43+0+$B$18,1,0))</f>
        <v>0</v>
      </c>
      <c r="DA49" s="385" t="n">
        <f aca="false">IF(101&lt;5,0,IF(MAX(CV38:DA38)&gt;DA43+0+$B$18,1,0))</f>
        <v>0</v>
      </c>
      <c r="DB49" s="385" t="n">
        <f aca="false">IF(102&lt;5,0,IF(MAX(CW38:DB38)&gt;DB43+0+$B$18,1,0))</f>
        <v>0</v>
      </c>
      <c r="DC49" s="385" t="n">
        <f aca="false">IF(103&lt;5,0,IF(MAX(CX38:DC38)&gt;DC43+0+$B$18,1,0))</f>
        <v>0</v>
      </c>
      <c r="DD49" s="385" t="n">
        <f aca="false">IF(104&lt;5,0,IF(MAX(CY38:DD38)&gt;DD43+0+$B$18,1,0))</f>
        <v>0</v>
      </c>
      <c r="DE49" s="385" t="n">
        <f aca="false">IF(105&lt;5,0,IF(MAX(CZ38:DE38)&gt;DE43+0+$B$18,1,0))</f>
        <v>0</v>
      </c>
    </row>
    <row r="50" customFormat="false" ht="13.5" hidden="false" customHeight="true" outlineLevel="0" collapsed="false">
      <c r="A50" s="110" t="s">
        <v>1386</v>
      </c>
      <c r="B50" s="213" t="n">
        <f aca="false">$B$26</f>
        <v>160000</v>
      </c>
      <c r="E50" s="385" t="n">
        <f aca="false">IF(1&lt;5,0,IF(MAX(E38)&gt;E43+1+$B$18,1,0))</f>
        <v>0</v>
      </c>
      <c r="F50" s="385" t="n">
        <f aca="false">IF(2&lt;5,0,IF(MAX(E38:F38)&gt;F43+1+$B$18,1,0))</f>
        <v>0</v>
      </c>
      <c r="G50" s="385" t="n">
        <f aca="false">IF(3&lt;5,0,IF(MAX(E38:G38)&gt;G43+1+$B$18,1,0))</f>
        <v>0</v>
      </c>
      <c r="H50" s="385" t="n">
        <f aca="false">IF(4&lt;5,0,IF(MAX(E38:H38)&gt;H43+1+$B$18,1,0))</f>
        <v>0</v>
      </c>
      <c r="I50" s="385" t="n">
        <f aca="false">IF(5&lt;5,0,IF(MAX(E38:I38)&gt;I43+1+$B$18,1,0))</f>
        <v>0</v>
      </c>
      <c r="J50" s="385" t="n">
        <f aca="false">IF(6&lt;5,0,IF(MAX(E38:J38)&gt;J43+1+$B$18,1,0))</f>
        <v>0</v>
      </c>
      <c r="K50" s="385" t="n">
        <f aca="false">IF(7&lt;5,0,IF(MAX(F38:K38)&gt;K43+1+$B$18,1,0))</f>
        <v>0</v>
      </c>
      <c r="L50" s="385" t="n">
        <f aca="false">IF(8&lt;5,0,IF(MAX(G38:L38)&gt;L43+1+$B$18,1,0))</f>
        <v>0</v>
      </c>
      <c r="M50" s="385" t="n">
        <f aca="false">IF(9&lt;5,0,IF(MAX(H38:M38)&gt;M43+1+$B$18,1,0))</f>
        <v>0</v>
      </c>
      <c r="N50" s="385" t="n">
        <f aca="false">IF(10&lt;5,0,IF(MAX(I38:N38)&gt;N43+1+$B$18,1,0))</f>
        <v>1</v>
      </c>
      <c r="O50" s="385" t="n">
        <f aca="false">IF(11&lt;5,0,IF(MAX(J38:O38)&gt;O43+1+$B$18,1,0))</f>
        <v>1</v>
      </c>
      <c r="P50" s="385" t="n">
        <f aca="false">IF(12&lt;5,0,IF(MAX(K38:P38)&gt;P43+1+$B$18,1,0))</f>
        <v>1</v>
      </c>
      <c r="Q50" s="385" t="n">
        <f aca="false">IF(13&lt;5,0,IF(MAX(L38:Q38)&gt;Q43+1+$B$18,1,0))</f>
        <v>1</v>
      </c>
      <c r="R50" s="385" t="n">
        <f aca="false">IF(14&lt;5,0,IF(MAX(M38:R38)&gt;R43+1+$B$18,1,0))</f>
        <v>1</v>
      </c>
      <c r="S50" s="385" t="n">
        <f aca="false">IF(15&lt;5,0,IF(MAX(N38:S38)&gt;S43+1+$B$18,1,0))</f>
        <v>1</v>
      </c>
      <c r="T50" s="385" t="n">
        <f aca="false">IF(16&lt;5,0,IF(MAX(O38:T38)&gt;T43+1+$B$18,1,0))</f>
        <v>1</v>
      </c>
      <c r="U50" s="385" t="n">
        <f aca="false">IF(17&lt;5,0,IF(MAX(P38:U38)&gt;U43+1+$B$18,1,0))</f>
        <v>1</v>
      </c>
      <c r="V50" s="385" t="n">
        <f aca="false">IF(18&lt;5,0,IF(MAX(Q38:V38)&gt;V43+1+$B$18,1,0))</f>
        <v>1</v>
      </c>
      <c r="W50" s="385" t="n">
        <f aca="false">IF(19&lt;5,0,IF(MAX(R38:W38)&gt;W43+1+$B$18,1,0))</f>
        <v>1</v>
      </c>
      <c r="X50" s="385" t="n">
        <f aca="false">IF(20&lt;5,0,IF(MAX(S38:X38)&gt;X43+1+$B$18,1,0))</f>
        <v>1</v>
      </c>
      <c r="Y50" s="385" t="n">
        <f aca="false">IF(21&lt;5,0,IF(MAX(T38:Y38)&gt;Y43+1+$B$18,1,0))</f>
        <v>1</v>
      </c>
      <c r="Z50" s="385" t="n">
        <f aca="false">IF(22&lt;5,0,IF(MAX(U38:Z38)&gt;Z43+1+$B$18,1,0))</f>
        <v>1</v>
      </c>
      <c r="AA50" s="385" t="n">
        <f aca="false">IF(23&lt;5,0,IF(MAX(V38:AA38)&gt;AA43+1+$B$18,1,0))</f>
        <v>1</v>
      </c>
      <c r="AB50" s="385" t="n">
        <f aca="false">IF(24&lt;5,0,IF(MAX(W38:AB38)&gt;AB43+1+$B$18,1,0))</f>
        <v>0</v>
      </c>
      <c r="AC50" s="385" t="n">
        <f aca="false">IF(25&lt;5,0,IF(MAX(X38:AC38)&gt;AC43+1+$B$18,1,0))</f>
        <v>0</v>
      </c>
      <c r="AD50" s="385" t="n">
        <f aca="false">IF(26&lt;5,0,IF(MAX(Y38:AD38)&gt;AD43+1+$B$18,1,0))</f>
        <v>0</v>
      </c>
      <c r="AE50" s="385" t="n">
        <f aca="false">IF(27&lt;5,0,IF(MAX(Z38:AE38)&gt;AE43+1+$B$18,1,0))</f>
        <v>0</v>
      </c>
      <c r="AF50" s="385" t="n">
        <f aca="false">IF(28&lt;5,0,IF(MAX(AA38:AF38)&gt;AF43+1+$B$18,1,0))</f>
        <v>0</v>
      </c>
      <c r="AG50" s="385" t="n">
        <f aca="false">IF(29&lt;5,0,IF(MAX(AB38:AG38)&gt;AG43+1+$B$18,1,0))</f>
        <v>0</v>
      </c>
      <c r="AH50" s="385" t="n">
        <f aca="false">IF(30&lt;5,0,IF(MAX(AC38:AH38)&gt;AH43+1+$B$18,1,0))</f>
        <v>0</v>
      </c>
      <c r="AI50" s="385" t="n">
        <f aca="false">IF(31&lt;5,0,IF(MAX(AD38:AI38)&gt;AI43+1+$B$18,1,0))</f>
        <v>0</v>
      </c>
      <c r="AJ50" s="385" t="n">
        <f aca="false">IF(32&lt;5,0,IF(MAX(AE38:AJ38)&gt;AJ43+1+$B$18,1,0))</f>
        <v>0</v>
      </c>
      <c r="AK50" s="385" t="n">
        <f aca="false">IF(33&lt;5,0,IF(MAX(AF38:AK38)&gt;AK43+1+$B$18,1,0))</f>
        <v>0</v>
      </c>
      <c r="AL50" s="385" t="n">
        <f aca="false">IF(34&lt;5,0,IF(MAX(AG38:AL38)&gt;AL43+1+$B$18,1,0))</f>
        <v>0</v>
      </c>
      <c r="AM50" s="385" t="n">
        <f aca="false">IF(35&lt;5,0,IF(MAX(AH38:AM38)&gt;AM43+1+$B$18,1,0))</f>
        <v>0</v>
      </c>
      <c r="AN50" s="385" t="n">
        <f aca="false">IF(36&lt;5,0,IF(MAX(AI38:AN38)&gt;AN43+1+$B$18,1,0))</f>
        <v>0</v>
      </c>
      <c r="AO50" s="385" t="n">
        <f aca="false">IF(37&lt;5,0,IF(MAX(AJ38:AO38)&gt;AO43+1+$B$18,1,0))</f>
        <v>0</v>
      </c>
      <c r="AP50" s="385" t="n">
        <f aca="false">IF(38&lt;5,0,IF(MAX(AK38:AP38)&gt;AP43+1+$B$18,1,0))</f>
        <v>0</v>
      </c>
      <c r="AQ50" s="385" t="n">
        <f aca="false">IF(39&lt;5,0,IF(MAX(AL38:AQ38)&gt;AQ43+1+$B$18,1,0))</f>
        <v>0</v>
      </c>
      <c r="AR50" s="385" t="n">
        <f aca="false">IF(40&lt;5,0,IF(MAX(AM38:AR38)&gt;AR43+1+$B$18,1,0))</f>
        <v>0</v>
      </c>
      <c r="AS50" s="385" t="n">
        <f aca="false">IF(41&lt;5,0,IF(MAX(AN38:AS38)&gt;AS43+1+$B$18,1,0))</f>
        <v>0</v>
      </c>
      <c r="AT50" s="385" t="n">
        <f aca="false">IF(42&lt;5,0,IF(MAX(AO38:AT38)&gt;AT43+1+$B$18,1,0))</f>
        <v>0</v>
      </c>
      <c r="AU50" s="385" t="n">
        <f aca="false">IF(43&lt;5,0,IF(MAX(AP38:AU38)&gt;AU43+1+$B$18,1,0))</f>
        <v>0</v>
      </c>
      <c r="AV50" s="385" t="n">
        <f aca="false">IF(44&lt;5,0,IF(MAX(AQ38:AV38)&gt;AV43+1+$B$18,1,0))</f>
        <v>0</v>
      </c>
      <c r="AW50" s="385" t="n">
        <f aca="false">IF(45&lt;5,0,IF(MAX(AR38:AW38)&gt;AW43+1+$B$18,1,0))</f>
        <v>0</v>
      </c>
      <c r="AX50" s="385" t="n">
        <f aca="false">IF(46&lt;5,0,IF(MAX(AS38:AX38)&gt;AX43+1+$B$18,1,0))</f>
        <v>0</v>
      </c>
      <c r="AY50" s="385" t="n">
        <f aca="false">IF(47&lt;5,0,IF(MAX(AT38:AY38)&gt;AY43+1+$B$18,1,0))</f>
        <v>0</v>
      </c>
      <c r="AZ50" s="385" t="n">
        <f aca="false">IF(48&lt;5,0,IF(MAX(AU38:AZ38)&gt;AZ43+1+$B$18,1,0))</f>
        <v>0</v>
      </c>
      <c r="BA50" s="385" t="n">
        <f aca="false">IF(49&lt;5,0,IF(MAX(AV38:BA38)&gt;BA43+1+$B$18,1,0))</f>
        <v>0</v>
      </c>
      <c r="BB50" s="385" t="n">
        <f aca="false">IF(50&lt;5,0,IF(MAX(AW38:BB38)&gt;BB43+1+$B$18,1,0))</f>
        <v>0</v>
      </c>
      <c r="BC50" s="385" t="n">
        <f aca="false">IF(51&lt;5,0,IF(MAX(AX38:BC38)&gt;BC43+1+$B$18,1,0))</f>
        <v>0</v>
      </c>
      <c r="BD50" s="385" t="n">
        <f aca="false">IF(52&lt;5,0,IF(MAX(AY38:BD38)&gt;BD43+1+$B$18,1,0))</f>
        <v>0</v>
      </c>
      <c r="BE50" s="385" t="n">
        <f aca="false">IF(53&lt;5,0,IF(MAX(AZ38:BE38)&gt;BE43+1+$B$18,1,0))</f>
        <v>0</v>
      </c>
      <c r="BF50" s="385" t="n">
        <f aca="false">IF(54&lt;5,0,IF(MAX(BA38:BF38)&gt;BF43+1+$B$18,1,0))</f>
        <v>0</v>
      </c>
      <c r="BG50" s="385" t="n">
        <f aca="false">IF(55&lt;5,0,IF(MAX(BB38:BG38)&gt;BG43+1+$B$18,1,0))</f>
        <v>0</v>
      </c>
      <c r="BH50" s="385" t="n">
        <f aca="false">IF(56&lt;5,0,IF(MAX(BC38:BH38)&gt;BH43+1+$B$18,1,0))</f>
        <v>0</v>
      </c>
      <c r="BI50" s="385" t="n">
        <f aca="false">IF(57&lt;5,0,IF(MAX(BD38:BI38)&gt;BI43+1+$B$18,1,0))</f>
        <v>0</v>
      </c>
      <c r="BJ50" s="385" t="n">
        <f aca="false">IF(58&lt;5,0,IF(MAX(BE38:BJ38)&gt;BJ43+1+$B$18,1,0))</f>
        <v>0</v>
      </c>
      <c r="BK50" s="385" t="n">
        <f aca="false">IF(59&lt;5,0,IF(MAX(BF38:BK38)&gt;BK43+1+$B$18,1,0))</f>
        <v>0</v>
      </c>
      <c r="BL50" s="385" t="n">
        <f aca="false">IF(60&lt;5,0,IF(MAX(BG38:BL38)&gt;BL43+1+$B$18,1,0))</f>
        <v>0</v>
      </c>
      <c r="BM50" s="385" t="n">
        <f aca="false">IF(61&lt;5,0,IF(MAX(BH38:BM38)&gt;BM43+1+$B$18,1,0))</f>
        <v>0</v>
      </c>
      <c r="BN50" s="385" t="n">
        <f aca="false">IF(62&lt;5,0,IF(MAX(BI38:BN38)&gt;BN43+1+$B$18,1,0))</f>
        <v>0</v>
      </c>
      <c r="BO50" s="385" t="n">
        <f aca="false">IF(63&lt;5,0,IF(MAX(BJ38:BO38)&gt;BO43+1+$B$18,1,0))</f>
        <v>0</v>
      </c>
      <c r="BP50" s="385" t="n">
        <f aca="false">IF(64&lt;5,0,IF(MAX(BK38:BP38)&gt;BP43+1+$B$18,1,0))</f>
        <v>0</v>
      </c>
      <c r="BQ50" s="385" t="n">
        <f aca="false">IF(65&lt;5,0,IF(MAX(BL38:BQ38)&gt;BQ43+1+$B$18,1,0))</f>
        <v>0</v>
      </c>
      <c r="BR50" s="385" t="n">
        <f aca="false">IF(66&lt;5,0,IF(MAX(BM38:BR38)&gt;BR43+1+$B$18,1,0))</f>
        <v>0</v>
      </c>
      <c r="BS50" s="385" t="n">
        <f aca="false">IF(67&lt;5,0,IF(MAX(BN38:BS38)&gt;BS43+1+$B$18,1,0))</f>
        <v>0</v>
      </c>
      <c r="BT50" s="385" t="n">
        <f aca="false">IF(68&lt;5,0,IF(MAX(BO38:BT38)&gt;BT43+1+$B$18,1,0))</f>
        <v>0</v>
      </c>
      <c r="BU50" s="385" t="n">
        <f aca="false">IF(69&lt;5,0,IF(MAX(BP38:BU38)&gt;BU43+1+$B$18,1,0))</f>
        <v>0</v>
      </c>
      <c r="BV50" s="385" t="n">
        <f aca="false">IF(70&lt;5,0,IF(MAX(BQ38:BV38)&gt;BV43+1+$B$18,1,0))</f>
        <v>0</v>
      </c>
      <c r="BW50" s="385" t="n">
        <f aca="false">IF(71&lt;5,0,IF(MAX(BR38:BW38)&gt;BW43+1+$B$18,1,0))</f>
        <v>0</v>
      </c>
      <c r="BX50" s="385" t="n">
        <f aca="false">IF(72&lt;5,0,IF(MAX(BS38:BX38)&gt;BX43+1+$B$18,1,0))</f>
        <v>0</v>
      </c>
      <c r="BY50" s="385" t="n">
        <f aca="false">IF(73&lt;5,0,IF(MAX(BT38:BY38)&gt;BY43+1+$B$18,1,0))</f>
        <v>0</v>
      </c>
      <c r="BZ50" s="385" t="n">
        <f aca="false">IF(74&lt;5,0,IF(MAX(BU38:BZ38)&gt;BZ43+1+$B$18,1,0))</f>
        <v>0</v>
      </c>
      <c r="CA50" s="385" t="n">
        <f aca="false">IF(75&lt;5,0,IF(MAX(BV38:CA38)&gt;CA43+1+$B$18,1,0))</f>
        <v>0</v>
      </c>
      <c r="CB50" s="385" t="n">
        <f aca="false">IF(76&lt;5,0,IF(MAX(BW38:CB38)&gt;CB43+1+$B$18,1,0))</f>
        <v>0</v>
      </c>
      <c r="CC50" s="385" t="n">
        <f aca="false">IF(77&lt;5,0,IF(MAX(BX38:CC38)&gt;CC43+1+$B$18,1,0))</f>
        <v>0</v>
      </c>
      <c r="CD50" s="385" t="n">
        <f aca="false">IF(78&lt;5,0,IF(MAX(BY38:CD38)&gt;CD43+1+$B$18,1,0))</f>
        <v>0</v>
      </c>
      <c r="CE50" s="385" t="n">
        <f aca="false">IF(79&lt;5,0,IF(MAX(BZ38:CE38)&gt;CE43+1+$B$18,1,0))</f>
        <v>0</v>
      </c>
      <c r="CF50" s="385" t="n">
        <f aca="false">IF(80&lt;5,0,IF(MAX(CA38:CF38)&gt;CF43+1+$B$18,1,0))</f>
        <v>0</v>
      </c>
      <c r="CG50" s="385" t="n">
        <f aca="false">IF(81&lt;5,0,IF(MAX(CB38:CG38)&gt;CG43+1+$B$18,1,0))</f>
        <v>0</v>
      </c>
      <c r="CH50" s="385" t="n">
        <f aca="false">IF(82&lt;5,0,IF(MAX(CC38:CH38)&gt;CH43+1+$B$18,1,0))</f>
        <v>0</v>
      </c>
      <c r="CI50" s="385" t="n">
        <f aca="false">IF(83&lt;5,0,IF(MAX(CD38:CI38)&gt;CI43+1+$B$18,1,0))</f>
        <v>0</v>
      </c>
      <c r="CJ50" s="385" t="n">
        <f aca="false">IF(84&lt;5,0,IF(MAX(CE38:CJ38)&gt;CJ43+1+$B$18,1,0))</f>
        <v>0</v>
      </c>
      <c r="CK50" s="385" t="n">
        <f aca="false">IF(85&lt;5,0,IF(MAX(CF38:CK38)&gt;CK43+1+$B$18,1,0))</f>
        <v>0</v>
      </c>
      <c r="CL50" s="385" t="n">
        <f aca="false">IF(86&lt;5,0,IF(MAX(CG38:CL38)&gt;CL43+1+$B$18,1,0))</f>
        <v>0</v>
      </c>
      <c r="CM50" s="385" t="n">
        <f aca="false">IF(87&lt;5,0,IF(MAX(CH38:CM38)&gt;CM43+1+$B$18,1,0))</f>
        <v>0</v>
      </c>
      <c r="CN50" s="385" t="n">
        <f aca="false">IF(88&lt;5,0,IF(MAX(CI38:CN38)&gt;CN43+1+$B$18,1,0))</f>
        <v>0</v>
      </c>
      <c r="CO50" s="385" t="n">
        <f aca="false">IF(89&lt;5,0,IF(MAX(CJ38:CO38)&gt;CO43+1+$B$18,1,0))</f>
        <v>0</v>
      </c>
      <c r="CP50" s="385" t="n">
        <f aca="false">IF(90&lt;5,0,IF(MAX(CK38:CP38)&gt;CP43+1+$B$18,1,0))</f>
        <v>0</v>
      </c>
      <c r="CQ50" s="385" t="n">
        <f aca="false">IF(91&lt;5,0,IF(MAX(CL38:CQ38)&gt;CQ43+1+$B$18,1,0))</f>
        <v>0</v>
      </c>
      <c r="CR50" s="385" t="n">
        <f aca="false">IF(92&lt;5,0,IF(MAX(CM38:CR38)&gt;CR43+1+$B$18,1,0))</f>
        <v>0</v>
      </c>
      <c r="CS50" s="385" t="n">
        <f aca="false">IF(93&lt;5,0,IF(MAX(CN38:CS38)&gt;CS43+1+$B$18,1,0))</f>
        <v>0</v>
      </c>
      <c r="CT50" s="385" t="n">
        <f aca="false">IF(94&lt;5,0,IF(MAX(CO38:CT38)&gt;CT43+1+$B$18,1,0))</f>
        <v>0</v>
      </c>
      <c r="CU50" s="385" t="n">
        <f aca="false">IF(95&lt;5,0,IF(MAX(CP38:CU38)&gt;CU43+1+$B$18,1,0))</f>
        <v>0</v>
      </c>
      <c r="CV50" s="385" t="n">
        <f aca="false">IF(96&lt;5,0,IF(MAX(CQ38:CV38)&gt;CV43+1+$B$18,1,0))</f>
        <v>0</v>
      </c>
      <c r="CW50" s="385" t="n">
        <f aca="false">IF(97&lt;5,0,IF(MAX(CR38:CW38)&gt;CW43+1+$B$18,1,0))</f>
        <v>0</v>
      </c>
      <c r="CX50" s="385" t="n">
        <f aca="false">IF(98&lt;5,0,IF(MAX(CS38:CX38)&gt;CX43+1+$B$18,1,0))</f>
        <v>0</v>
      </c>
      <c r="CY50" s="385" t="n">
        <f aca="false">IF(99&lt;5,0,IF(MAX(CT38:CY38)&gt;CY43+1+$B$18,1,0))</f>
        <v>0</v>
      </c>
      <c r="CZ50" s="385" t="n">
        <f aca="false">IF(100&lt;5,0,IF(MAX(CU38:CZ38)&gt;CZ43+1+$B$18,1,0))</f>
        <v>0</v>
      </c>
      <c r="DA50" s="385" t="n">
        <f aca="false">IF(101&lt;5,0,IF(MAX(CV38:DA38)&gt;DA43+1+$B$18,1,0))</f>
        <v>0</v>
      </c>
      <c r="DB50" s="385" t="n">
        <f aca="false">IF(102&lt;5,0,IF(MAX(CW38:DB38)&gt;DB43+1+$B$18,1,0))</f>
        <v>0</v>
      </c>
      <c r="DC50" s="385" t="n">
        <f aca="false">IF(103&lt;5,0,IF(MAX(CX38:DC38)&gt;DC43+1+$B$18,1,0))</f>
        <v>0</v>
      </c>
      <c r="DD50" s="385" t="n">
        <f aca="false">IF(104&lt;5,0,IF(MAX(CY38:DD38)&gt;DD43+1+$B$18,1,0))</f>
        <v>0</v>
      </c>
      <c r="DE50" s="385" t="n">
        <f aca="false">IF(105&lt;5,0,IF(MAX(CZ38:DE38)&gt;DE43+1+$B$18,1,0))</f>
        <v>0</v>
      </c>
    </row>
    <row r="51" customFormat="false" ht="13.5" hidden="false" customHeight="true" outlineLevel="0" collapsed="false">
      <c r="A51" s="110" t="s">
        <v>1387</v>
      </c>
      <c r="B51" s="213" t="n">
        <f aca="false">$B$26</f>
        <v>160000</v>
      </c>
      <c r="E51" s="385" t="n">
        <f aca="false">IF(1&lt;5,0,IF(MAX(E38)&gt;E43+2+$B$18,1,0))</f>
        <v>0</v>
      </c>
      <c r="F51" s="385" t="n">
        <f aca="false">IF(2&lt;5,0,IF(MAX(E38:F38)&gt;F43+2+$B$18,1,0))</f>
        <v>0</v>
      </c>
      <c r="G51" s="385" t="n">
        <f aca="false">IF(3&lt;5,0,IF(MAX(E38:G38)&gt;G43+2+$B$18,1,0))</f>
        <v>0</v>
      </c>
      <c r="H51" s="385" t="n">
        <f aca="false">IF(4&lt;5,0,IF(MAX(E38:H38)&gt;H43+2+$B$18,1,0))</f>
        <v>0</v>
      </c>
      <c r="I51" s="385" t="n">
        <f aca="false">IF(5&lt;5,0,IF(MAX(E38:I38)&gt;I43+2+$B$18,1,0))</f>
        <v>0</v>
      </c>
      <c r="J51" s="385" t="n">
        <f aca="false">IF(6&lt;5,0,IF(MAX(E38:J38)&gt;J43+2+$B$18,1,0))</f>
        <v>0</v>
      </c>
      <c r="K51" s="385" t="n">
        <f aca="false">IF(7&lt;5,0,IF(MAX(F38:K38)&gt;K43+2+$B$18,1,0))</f>
        <v>0</v>
      </c>
      <c r="L51" s="385" t="n">
        <f aca="false">IF(8&lt;5,0,IF(MAX(G38:L38)&gt;L43+2+$B$18,1,0))</f>
        <v>0</v>
      </c>
      <c r="M51" s="385" t="n">
        <f aca="false">IF(9&lt;5,0,IF(MAX(H38:M38)&gt;M43+2+$B$18,1,0))</f>
        <v>0</v>
      </c>
      <c r="N51" s="385" t="n">
        <f aca="false">IF(10&lt;5,0,IF(MAX(I38:N38)&gt;N43+2+$B$18,1,0))</f>
        <v>0</v>
      </c>
      <c r="O51" s="385" t="n">
        <f aca="false">IF(11&lt;5,0,IF(MAX(J38:O38)&gt;O43+2+$B$18,1,0))</f>
        <v>1</v>
      </c>
      <c r="P51" s="385" t="n">
        <f aca="false">IF(12&lt;5,0,IF(MAX(K38:P38)&gt;P43+2+$B$18,1,0))</f>
        <v>1</v>
      </c>
      <c r="Q51" s="385" t="n">
        <f aca="false">IF(13&lt;5,0,IF(MAX(L38:Q38)&gt;Q43+2+$B$18,1,0))</f>
        <v>1</v>
      </c>
      <c r="R51" s="385" t="n">
        <f aca="false">IF(14&lt;5,0,IF(MAX(M38:R38)&gt;R43+2+$B$18,1,0))</f>
        <v>1</v>
      </c>
      <c r="S51" s="385" t="n">
        <f aca="false">IF(15&lt;5,0,IF(MAX(N38:S38)&gt;S43+2+$B$18,1,0))</f>
        <v>1</v>
      </c>
      <c r="T51" s="385" t="n">
        <f aca="false">IF(16&lt;5,0,IF(MAX(O38:T38)&gt;T43+2+$B$18,1,0))</f>
        <v>1</v>
      </c>
      <c r="U51" s="385" t="n">
        <f aca="false">IF(17&lt;5,0,IF(MAX(P38:U38)&gt;U43+2+$B$18,1,0))</f>
        <v>1</v>
      </c>
      <c r="V51" s="385" t="n">
        <f aca="false">IF(18&lt;5,0,IF(MAX(Q38:V38)&gt;V43+2+$B$18,1,0))</f>
        <v>1</v>
      </c>
      <c r="W51" s="385" t="n">
        <f aca="false">IF(19&lt;5,0,IF(MAX(R38:W38)&gt;W43+2+$B$18,1,0))</f>
        <v>1</v>
      </c>
      <c r="X51" s="385" t="n">
        <f aca="false">IF(20&lt;5,0,IF(MAX(S38:X38)&gt;X43+2+$B$18,1,0))</f>
        <v>1</v>
      </c>
      <c r="Y51" s="385" t="n">
        <f aca="false">IF(21&lt;5,0,IF(MAX(T38:Y38)&gt;Y43+2+$B$18,1,0))</f>
        <v>1</v>
      </c>
      <c r="Z51" s="385" t="n">
        <f aca="false">IF(22&lt;5,0,IF(MAX(U38:Z38)&gt;Z43+2+$B$18,1,0))</f>
        <v>0</v>
      </c>
      <c r="AA51" s="385" t="n">
        <f aca="false">IF(23&lt;5,0,IF(MAX(V38:AA38)&gt;AA43+2+$B$18,1,0))</f>
        <v>0</v>
      </c>
      <c r="AB51" s="385" t="n">
        <f aca="false">IF(24&lt;5,0,IF(MAX(W38:AB38)&gt;AB43+2+$B$18,1,0))</f>
        <v>0</v>
      </c>
      <c r="AC51" s="385" t="n">
        <f aca="false">IF(25&lt;5,0,IF(MAX(X38:AC38)&gt;AC43+2+$B$18,1,0))</f>
        <v>0</v>
      </c>
      <c r="AD51" s="385" t="n">
        <f aca="false">IF(26&lt;5,0,IF(MAX(Y38:AD38)&gt;AD43+2+$B$18,1,0))</f>
        <v>0</v>
      </c>
      <c r="AE51" s="385" t="n">
        <f aca="false">IF(27&lt;5,0,IF(MAX(Z38:AE38)&gt;AE43+2+$B$18,1,0))</f>
        <v>0</v>
      </c>
      <c r="AF51" s="385" t="n">
        <f aca="false">IF(28&lt;5,0,IF(MAX(AA38:AF38)&gt;AF43+2+$B$18,1,0))</f>
        <v>0</v>
      </c>
      <c r="AG51" s="385" t="n">
        <f aca="false">IF(29&lt;5,0,IF(MAX(AB38:AG38)&gt;AG43+2+$B$18,1,0))</f>
        <v>0</v>
      </c>
      <c r="AH51" s="385" t="n">
        <f aca="false">IF(30&lt;5,0,IF(MAX(AC38:AH38)&gt;AH43+2+$B$18,1,0))</f>
        <v>0</v>
      </c>
      <c r="AI51" s="385" t="n">
        <f aca="false">IF(31&lt;5,0,IF(MAX(AD38:AI38)&gt;AI43+2+$B$18,1,0))</f>
        <v>0</v>
      </c>
      <c r="AJ51" s="385" t="n">
        <f aca="false">IF(32&lt;5,0,IF(MAX(AE38:AJ38)&gt;AJ43+2+$B$18,1,0))</f>
        <v>0</v>
      </c>
      <c r="AK51" s="385" t="n">
        <f aca="false">IF(33&lt;5,0,IF(MAX(AF38:AK38)&gt;AK43+2+$B$18,1,0))</f>
        <v>0</v>
      </c>
      <c r="AL51" s="385" t="n">
        <f aca="false">IF(34&lt;5,0,IF(MAX(AG38:AL38)&gt;AL43+2+$B$18,1,0))</f>
        <v>0</v>
      </c>
      <c r="AM51" s="385" t="n">
        <f aca="false">IF(35&lt;5,0,IF(MAX(AH38:AM38)&gt;AM43+2+$B$18,1,0))</f>
        <v>0</v>
      </c>
      <c r="AN51" s="385" t="n">
        <f aca="false">IF(36&lt;5,0,IF(MAX(AI38:AN38)&gt;AN43+2+$B$18,1,0))</f>
        <v>0</v>
      </c>
      <c r="AO51" s="385" t="n">
        <f aca="false">IF(37&lt;5,0,IF(MAX(AJ38:AO38)&gt;AO43+2+$B$18,1,0))</f>
        <v>0</v>
      </c>
      <c r="AP51" s="385" t="n">
        <f aca="false">IF(38&lt;5,0,IF(MAX(AK38:AP38)&gt;AP43+2+$B$18,1,0))</f>
        <v>0</v>
      </c>
      <c r="AQ51" s="385" t="n">
        <f aca="false">IF(39&lt;5,0,IF(MAX(AL38:AQ38)&gt;AQ43+2+$B$18,1,0))</f>
        <v>0</v>
      </c>
      <c r="AR51" s="385" t="n">
        <f aca="false">IF(40&lt;5,0,IF(MAX(AM38:AR38)&gt;AR43+2+$B$18,1,0))</f>
        <v>0</v>
      </c>
      <c r="AS51" s="385" t="n">
        <f aca="false">IF(41&lt;5,0,IF(MAX(AN38:AS38)&gt;AS43+2+$B$18,1,0))</f>
        <v>0</v>
      </c>
      <c r="AT51" s="385" t="n">
        <f aca="false">IF(42&lt;5,0,IF(MAX(AO38:AT38)&gt;AT43+2+$B$18,1,0))</f>
        <v>0</v>
      </c>
      <c r="AU51" s="385" t="n">
        <f aca="false">IF(43&lt;5,0,IF(MAX(AP38:AU38)&gt;AU43+2+$B$18,1,0))</f>
        <v>0</v>
      </c>
      <c r="AV51" s="385" t="n">
        <f aca="false">IF(44&lt;5,0,IF(MAX(AQ38:AV38)&gt;AV43+2+$B$18,1,0))</f>
        <v>0</v>
      </c>
      <c r="AW51" s="385" t="n">
        <f aca="false">IF(45&lt;5,0,IF(MAX(AR38:AW38)&gt;AW43+2+$B$18,1,0))</f>
        <v>0</v>
      </c>
      <c r="AX51" s="385" t="n">
        <f aca="false">IF(46&lt;5,0,IF(MAX(AS38:AX38)&gt;AX43+2+$B$18,1,0))</f>
        <v>0</v>
      </c>
      <c r="AY51" s="385" t="n">
        <f aca="false">IF(47&lt;5,0,IF(MAX(AT38:AY38)&gt;AY43+2+$B$18,1,0))</f>
        <v>0</v>
      </c>
      <c r="AZ51" s="385" t="n">
        <f aca="false">IF(48&lt;5,0,IF(MAX(AU38:AZ38)&gt;AZ43+2+$B$18,1,0))</f>
        <v>0</v>
      </c>
      <c r="BA51" s="385" t="n">
        <f aca="false">IF(49&lt;5,0,IF(MAX(AV38:BA38)&gt;BA43+2+$B$18,1,0))</f>
        <v>0</v>
      </c>
      <c r="BB51" s="385" t="n">
        <f aca="false">IF(50&lt;5,0,IF(MAX(AW38:BB38)&gt;BB43+2+$B$18,1,0))</f>
        <v>0</v>
      </c>
      <c r="BC51" s="385" t="n">
        <f aca="false">IF(51&lt;5,0,IF(MAX(AX38:BC38)&gt;BC43+2+$B$18,1,0))</f>
        <v>0</v>
      </c>
      <c r="BD51" s="385" t="n">
        <f aca="false">IF(52&lt;5,0,IF(MAX(AY38:BD38)&gt;BD43+2+$B$18,1,0))</f>
        <v>0</v>
      </c>
      <c r="BE51" s="385" t="n">
        <f aca="false">IF(53&lt;5,0,IF(MAX(AZ38:BE38)&gt;BE43+2+$B$18,1,0))</f>
        <v>0</v>
      </c>
      <c r="BF51" s="385" t="n">
        <f aca="false">IF(54&lt;5,0,IF(MAX(BA38:BF38)&gt;BF43+2+$B$18,1,0))</f>
        <v>0</v>
      </c>
      <c r="BG51" s="385" t="n">
        <f aca="false">IF(55&lt;5,0,IF(MAX(BB38:BG38)&gt;BG43+2+$B$18,1,0))</f>
        <v>0</v>
      </c>
      <c r="BH51" s="385" t="n">
        <f aca="false">IF(56&lt;5,0,IF(MAX(BC38:BH38)&gt;BH43+2+$B$18,1,0))</f>
        <v>0</v>
      </c>
      <c r="BI51" s="385" t="n">
        <f aca="false">IF(57&lt;5,0,IF(MAX(BD38:BI38)&gt;BI43+2+$B$18,1,0))</f>
        <v>0</v>
      </c>
      <c r="BJ51" s="385" t="n">
        <f aca="false">IF(58&lt;5,0,IF(MAX(BE38:BJ38)&gt;BJ43+2+$B$18,1,0))</f>
        <v>0</v>
      </c>
      <c r="BK51" s="385" t="n">
        <f aca="false">IF(59&lt;5,0,IF(MAX(BF38:BK38)&gt;BK43+2+$B$18,1,0))</f>
        <v>0</v>
      </c>
      <c r="BL51" s="385" t="n">
        <f aca="false">IF(60&lt;5,0,IF(MAX(BG38:BL38)&gt;BL43+2+$B$18,1,0))</f>
        <v>0</v>
      </c>
      <c r="BM51" s="385" t="n">
        <f aca="false">IF(61&lt;5,0,IF(MAX(BH38:BM38)&gt;BM43+2+$B$18,1,0))</f>
        <v>0</v>
      </c>
      <c r="BN51" s="385" t="n">
        <f aca="false">IF(62&lt;5,0,IF(MAX(BI38:BN38)&gt;BN43+2+$B$18,1,0))</f>
        <v>0</v>
      </c>
      <c r="BO51" s="385" t="n">
        <f aca="false">IF(63&lt;5,0,IF(MAX(BJ38:BO38)&gt;BO43+2+$B$18,1,0))</f>
        <v>0</v>
      </c>
      <c r="BP51" s="385" t="n">
        <f aca="false">IF(64&lt;5,0,IF(MAX(BK38:BP38)&gt;BP43+2+$B$18,1,0))</f>
        <v>0</v>
      </c>
      <c r="BQ51" s="385" t="n">
        <f aca="false">IF(65&lt;5,0,IF(MAX(BL38:BQ38)&gt;BQ43+2+$B$18,1,0))</f>
        <v>0</v>
      </c>
      <c r="BR51" s="385" t="n">
        <f aca="false">IF(66&lt;5,0,IF(MAX(BM38:BR38)&gt;BR43+2+$B$18,1,0))</f>
        <v>0</v>
      </c>
      <c r="BS51" s="385" t="n">
        <f aca="false">IF(67&lt;5,0,IF(MAX(BN38:BS38)&gt;BS43+2+$B$18,1,0))</f>
        <v>0</v>
      </c>
      <c r="BT51" s="385" t="n">
        <f aca="false">IF(68&lt;5,0,IF(MAX(BO38:BT38)&gt;BT43+2+$B$18,1,0))</f>
        <v>0</v>
      </c>
      <c r="BU51" s="385" t="n">
        <f aca="false">IF(69&lt;5,0,IF(MAX(BP38:BU38)&gt;BU43+2+$B$18,1,0))</f>
        <v>0</v>
      </c>
      <c r="BV51" s="385" t="n">
        <f aca="false">IF(70&lt;5,0,IF(MAX(BQ38:BV38)&gt;BV43+2+$B$18,1,0))</f>
        <v>0</v>
      </c>
      <c r="BW51" s="385" t="n">
        <f aca="false">IF(71&lt;5,0,IF(MAX(BR38:BW38)&gt;BW43+2+$B$18,1,0))</f>
        <v>0</v>
      </c>
      <c r="BX51" s="385" t="n">
        <f aca="false">IF(72&lt;5,0,IF(MAX(BS38:BX38)&gt;BX43+2+$B$18,1,0))</f>
        <v>0</v>
      </c>
      <c r="BY51" s="385" t="n">
        <f aca="false">IF(73&lt;5,0,IF(MAX(BT38:BY38)&gt;BY43+2+$B$18,1,0))</f>
        <v>0</v>
      </c>
      <c r="BZ51" s="385" t="n">
        <f aca="false">IF(74&lt;5,0,IF(MAX(BU38:BZ38)&gt;BZ43+2+$B$18,1,0))</f>
        <v>0</v>
      </c>
      <c r="CA51" s="385" t="n">
        <f aca="false">IF(75&lt;5,0,IF(MAX(BV38:CA38)&gt;CA43+2+$B$18,1,0))</f>
        <v>0</v>
      </c>
      <c r="CB51" s="385" t="n">
        <f aca="false">IF(76&lt;5,0,IF(MAX(BW38:CB38)&gt;CB43+2+$B$18,1,0))</f>
        <v>0</v>
      </c>
      <c r="CC51" s="385" t="n">
        <f aca="false">IF(77&lt;5,0,IF(MAX(BX38:CC38)&gt;CC43+2+$B$18,1,0))</f>
        <v>0</v>
      </c>
      <c r="CD51" s="385" t="n">
        <f aca="false">IF(78&lt;5,0,IF(MAX(BY38:CD38)&gt;CD43+2+$B$18,1,0))</f>
        <v>0</v>
      </c>
      <c r="CE51" s="385" t="n">
        <f aca="false">IF(79&lt;5,0,IF(MAX(BZ38:CE38)&gt;CE43+2+$B$18,1,0))</f>
        <v>0</v>
      </c>
      <c r="CF51" s="385" t="n">
        <f aca="false">IF(80&lt;5,0,IF(MAX(CA38:CF38)&gt;CF43+2+$B$18,1,0))</f>
        <v>0</v>
      </c>
      <c r="CG51" s="385" t="n">
        <f aca="false">IF(81&lt;5,0,IF(MAX(CB38:CG38)&gt;CG43+2+$B$18,1,0))</f>
        <v>0</v>
      </c>
      <c r="CH51" s="385" t="n">
        <f aca="false">IF(82&lt;5,0,IF(MAX(CC38:CH38)&gt;CH43+2+$B$18,1,0))</f>
        <v>0</v>
      </c>
      <c r="CI51" s="385" t="n">
        <f aca="false">IF(83&lt;5,0,IF(MAX(CD38:CI38)&gt;CI43+2+$B$18,1,0))</f>
        <v>0</v>
      </c>
      <c r="CJ51" s="385" t="n">
        <f aca="false">IF(84&lt;5,0,IF(MAX(CE38:CJ38)&gt;CJ43+2+$B$18,1,0))</f>
        <v>0</v>
      </c>
      <c r="CK51" s="385" t="n">
        <f aca="false">IF(85&lt;5,0,IF(MAX(CF38:CK38)&gt;CK43+2+$B$18,1,0))</f>
        <v>0</v>
      </c>
      <c r="CL51" s="385" t="n">
        <f aca="false">IF(86&lt;5,0,IF(MAX(CG38:CL38)&gt;CL43+2+$B$18,1,0))</f>
        <v>0</v>
      </c>
      <c r="CM51" s="385" t="n">
        <f aca="false">IF(87&lt;5,0,IF(MAX(CH38:CM38)&gt;CM43+2+$B$18,1,0))</f>
        <v>0</v>
      </c>
      <c r="CN51" s="385" t="n">
        <f aca="false">IF(88&lt;5,0,IF(MAX(CI38:CN38)&gt;CN43+2+$B$18,1,0))</f>
        <v>0</v>
      </c>
      <c r="CO51" s="385" t="n">
        <f aca="false">IF(89&lt;5,0,IF(MAX(CJ38:CO38)&gt;CO43+2+$B$18,1,0))</f>
        <v>0</v>
      </c>
      <c r="CP51" s="385" t="n">
        <f aca="false">IF(90&lt;5,0,IF(MAX(CK38:CP38)&gt;CP43+2+$B$18,1,0))</f>
        <v>0</v>
      </c>
      <c r="CQ51" s="385" t="n">
        <f aca="false">IF(91&lt;5,0,IF(MAX(CL38:CQ38)&gt;CQ43+2+$B$18,1,0))</f>
        <v>0</v>
      </c>
      <c r="CR51" s="385" t="n">
        <f aca="false">IF(92&lt;5,0,IF(MAX(CM38:CR38)&gt;CR43+2+$B$18,1,0))</f>
        <v>0</v>
      </c>
      <c r="CS51" s="385" t="n">
        <f aca="false">IF(93&lt;5,0,IF(MAX(CN38:CS38)&gt;CS43+2+$B$18,1,0))</f>
        <v>0</v>
      </c>
      <c r="CT51" s="385" t="n">
        <f aca="false">IF(94&lt;5,0,IF(MAX(CO38:CT38)&gt;CT43+2+$B$18,1,0))</f>
        <v>0</v>
      </c>
      <c r="CU51" s="385" t="n">
        <f aca="false">IF(95&lt;5,0,IF(MAX(CP38:CU38)&gt;CU43+2+$B$18,1,0))</f>
        <v>0</v>
      </c>
      <c r="CV51" s="385" t="n">
        <f aca="false">IF(96&lt;5,0,IF(MAX(CQ38:CV38)&gt;CV43+2+$B$18,1,0))</f>
        <v>0</v>
      </c>
      <c r="CW51" s="385" t="n">
        <f aca="false">IF(97&lt;5,0,IF(MAX(CR38:CW38)&gt;CW43+2+$B$18,1,0))</f>
        <v>0</v>
      </c>
      <c r="CX51" s="385" t="n">
        <f aca="false">IF(98&lt;5,0,IF(MAX(CS38:CX38)&gt;CX43+2+$B$18,1,0))</f>
        <v>0</v>
      </c>
      <c r="CY51" s="385" t="n">
        <f aca="false">IF(99&lt;5,0,IF(MAX(CT38:CY38)&gt;CY43+2+$B$18,1,0))</f>
        <v>0</v>
      </c>
      <c r="CZ51" s="385" t="n">
        <f aca="false">IF(100&lt;5,0,IF(MAX(CU38:CZ38)&gt;CZ43+2+$B$18,1,0))</f>
        <v>0</v>
      </c>
      <c r="DA51" s="385" t="n">
        <f aca="false">IF(101&lt;5,0,IF(MAX(CV38:DA38)&gt;DA43+2+$B$18,1,0))</f>
        <v>0</v>
      </c>
      <c r="DB51" s="385" t="n">
        <f aca="false">IF(102&lt;5,0,IF(MAX(CW38:DB38)&gt;DB43+2+$B$18,1,0))</f>
        <v>0</v>
      </c>
      <c r="DC51" s="385" t="n">
        <f aca="false">IF(103&lt;5,0,IF(MAX(CX38:DC38)&gt;DC43+2+$B$18,1,0))</f>
        <v>0</v>
      </c>
      <c r="DD51" s="385" t="n">
        <f aca="false">IF(104&lt;5,0,IF(MAX(CY38:DD38)&gt;DD43+2+$B$18,1,0))</f>
        <v>0</v>
      </c>
      <c r="DE51" s="385" t="n">
        <f aca="false">IF(105&lt;5,0,IF(MAX(CZ38:DE38)&gt;DE43+2+$B$18,1,0))</f>
        <v>0</v>
      </c>
    </row>
    <row r="52" customFormat="false" ht="13.5" hidden="false" customHeight="true" outlineLevel="0" collapsed="false">
      <c r="A52" s="110" t="s">
        <v>1388</v>
      </c>
      <c r="B52" s="213" t="n">
        <f aca="false">$B$26</f>
        <v>160000</v>
      </c>
      <c r="E52" s="385" t="n">
        <f aca="false">IF(1&lt;5,0,IF(MAX(E38)&gt;E43+3+$B$18,1,0))</f>
        <v>0</v>
      </c>
      <c r="F52" s="385" t="n">
        <f aca="false">IF(2&lt;5,0,IF(MAX(E38:F38)&gt;F43+3+$B$18,1,0))</f>
        <v>0</v>
      </c>
      <c r="G52" s="385" t="n">
        <f aca="false">IF(3&lt;5,0,IF(MAX(E38:G38)&gt;G43+3+$B$18,1,0))</f>
        <v>0</v>
      </c>
      <c r="H52" s="385" t="n">
        <f aca="false">IF(4&lt;5,0,IF(MAX(E38:H38)&gt;H43+3+$B$18,1,0))</f>
        <v>0</v>
      </c>
      <c r="I52" s="385" t="n">
        <f aca="false">IF(5&lt;5,0,IF(MAX(E38:I38)&gt;I43+3+$B$18,1,0))</f>
        <v>0</v>
      </c>
      <c r="J52" s="385" t="n">
        <f aca="false">IF(6&lt;5,0,IF(MAX(E38:J38)&gt;J43+3+$B$18,1,0))</f>
        <v>0</v>
      </c>
      <c r="K52" s="385" t="n">
        <f aca="false">IF(7&lt;5,0,IF(MAX(F38:K38)&gt;K43+3+$B$18,1,0))</f>
        <v>0</v>
      </c>
      <c r="L52" s="385" t="n">
        <f aca="false">IF(8&lt;5,0,IF(MAX(G38:L38)&gt;L43+3+$B$18,1,0))</f>
        <v>0</v>
      </c>
      <c r="M52" s="385" t="n">
        <f aca="false">IF(9&lt;5,0,IF(MAX(H38:M38)&gt;M43+3+$B$18,1,0))</f>
        <v>0</v>
      </c>
      <c r="N52" s="385" t="n">
        <f aca="false">IF(10&lt;5,0,IF(MAX(I38:N38)&gt;N43+3+$B$18,1,0))</f>
        <v>0</v>
      </c>
      <c r="O52" s="385" t="n">
        <f aca="false">IF(11&lt;5,0,IF(MAX(J38:O38)&gt;O43+3+$B$18,1,0))</f>
        <v>0</v>
      </c>
      <c r="P52" s="385" t="n">
        <f aca="false">IF(12&lt;5,0,IF(MAX(K38:P38)&gt;P43+3+$B$18,1,0))</f>
        <v>0</v>
      </c>
      <c r="Q52" s="385" t="n">
        <f aca="false">IF(13&lt;5,0,IF(MAX(L38:Q38)&gt;Q43+3+$B$18,1,0))</f>
        <v>0</v>
      </c>
      <c r="R52" s="385" t="n">
        <f aca="false">IF(14&lt;5,0,IF(MAX(M38:R38)&gt;R43+3+$B$18,1,0))</f>
        <v>0</v>
      </c>
      <c r="S52" s="385" t="n">
        <f aca="false">IF(15&lt;5,0,IF(MAX(N38:S38)&gt;S43+3+$B$18,1,0))</f>
        <v>0</v>
      </c>
      <c r="T52" s="385" t="n">
        <f aca="false">IF(16&lt;5,0,IF(MAX(O38:T38)&gt;T43+3+$B$18,1,0))</f>
        <v>0</v>
      </c>
      <c r="U52" s="385" t="n">
        <f aca="false">IF(17&lt;5,0,IF(MAX(P38:U38)&gt;U43+3+$B$18,1,0))</f>
        <v>0</v>
      </c>
      <c r="V52" s="385" t="n">
        <f aca="false">IF(18&lt;5,0,IF(MAX(Q38:V38)&gt;V43+3+$B$18,1,0))</f>
        <v>0</v>
      </c>
      <c r="W52" s="385" t="n">
        <f aca="false">IF(19&lt;5,0,IF(MAX(R38:W38)&gt;W43+3+$B$18,1,0))</f>
        <v>0</v>
      </c>
      <c r="X52" s="385" t="n">
        <f aca="false">IF(20&lt;5,0,IF(MAX(S38:X38)&gt;X43+3+$B$18,1,0))</f>
        <v>0</v>
      </c>
      <c r="Y52" s="385" t="n">
        <f aca="false">IF(21&lt;5,0,IF(MAX(T38:Y38)&gt;Y43+3+$B$18,1,0))</f>
        <v>0</v>
      </c>
      <c r="Z52" s="385" t="n">
        <f aca="false">IF(22&lt;5,0,IF(MAX(U38:Z38)&gt;Z43+3+$B$18,1,0))</f>
        <v>0</v>
      </c>
      <c r="AA52" s="385" t="n">
        <f aca="false">IF(23&lt;5,0,IF(MAX(V38:AA38)&gt;AA43+3+$B$18,1,0))</f>
        <v>0</v>
      </c>
      <c r="AB52" s="385" t="n">
        <f aca="false">IF(24&lt;5,0,IF(MAX(W38:AB38)&gt;AB43+3+$B$18,1,0))</f>
        <v>0</v>
      </c>
      <c r="AC52" s="385" t="n">
        <f aca="false">IF(25&lt;5,0,IF(MAX(X38:AC38)&gt;AC43+3+$B$18,1,0))</f>
        <v>0</v>
      </c>
      <c r="AD52" s="385" t="n">
        <f aca="false">IF(26&lt;5,0,IF(MAX(Y38:AD38)&gt;AD43+3+$B$18,1,0))</f>
        <v>0</v>
      </c>
      <c r="AE52" s="385" t="n">
        <f aca="false">IF(27&lt;5,0,IF(MAX(Z38:AE38)&gt;AE43+3+$B$18,1,0))</f>
        <v>0</v>
      </c>
      <c r="AF52" s="385" t="n">
        <f aca="false">IF(28&lt;5,0,IF(MAX(AA38:AF38)&gt;AF43+3+$B$18,1,0))</f>
        <v>0</v>
      </c>
      <c r="AG52" s="385" t="n">
        <f aca="false">IF(29&lt;5,0,IF(MAX(AB38:AG38)&gt;AG43+3+$B$18,1,0))</f>
        <v>0</v>
      </c>
      <c r="AH52" s="385" t="n">
        <f aca="false">IF(30&lt;5,0,IF(MAX(AC38:AH38)&gt;AH43+3+$B$18,1,0))</f>
        <v>0</v>
      </c>
      <c r="AI52" s="385" t="n">
        <f aca="false">IF(31&lt;5,0,IF(MAX(AD38:AI38)&gt;AI43+3+$B$18,1,0))</f>
        <v>0</v>
      </c>
      <c r="AJ52" s="385" t="n">
        <f aca="false">IF(32&lt;5,0,IF(MAX(AE38:AJ38)&gt;AJ43+3+$B$18,1,0))</f>
        <v>0</v>
      </c>
      <c r="AK52" s="385" t="n">
        <f aca="false">IF(33&lt;5,0,IF(MAX(AF38:AK38)&gt;AK43+3+$B$18,1,0))</f>
        <v>0</v>
      </c>
      <c r="AL52" s="385" t="n">
        <f aca="false">IF(34&lt;5,0,IF(MAX(AG38:AL38)&gt;AL43+3+$B$18,1,0))</f>
        <v>0</v>
      </c>
      <c r="AM52" s="385" t="n">
        <f aca="false">IF(35&lt;5,0,IF(MAX(AH38:AM38)&gt;AM43+3+$B$18,1,0))</f>
        <v>0</v>
      </c>
      <c r="AN52" s="385" t="n">
        <f aca="false">IF(36&lt;5,0,IF(MAX(AI38:AN38)&gt;AN43+3+$B$18,1,0))</f>
        <v>0</v>
      </c>
      <c r="AO52" s="385" t="n">
        <f aca="false">IF(37&lt;5,0,IF(MAX(AJ38:AO38)&gt;AO43+3+$B$18,1,0))</f>
        <v>0</v>
      </c>
      <c r="AP52" s="385" t="n">
        <f aca="false">IF(38&lt;5,0,IF(MAX(AK38:AP38)&gt;AP43+3+$B$18,1,0))</f>
        <v>0</v>
      </c>
      <c r="AQ52" s="385" t="n">
        <f aca="false">IF(39&lt;5,0,IF(MAX(AL38:AQ38)&gt;AQ43+3+$B$18,1,0))</f>
        <v>0</v>
      </c>
      <c r="AR52" s="385" t="n">
        <f aca="false">IF(40&lt;5,0,IF(MAX(AM38:AR38)&gt;AR43+3+$B$18,1,0))</f>
        <v>0</v>
      </c>
      <c r="AS52" s="385" t="n">
        <f aca="false">IF(41&lt;5,0,IF(MAX(AN38:AS38)&gt;AS43+3+$B$18,1,0))</f>
        <v>0</v>
      </c>
      <c r="AT52" s="385" t="n">
        <f aca="false">IF(42&lt;5,0,IF(MAX(AO38:AT38)&gt;AT43+3+$B$18,1,0))</f>
        <v>0</v>
      </c>
      <c r="AU52" s="385" t="n">
        <f aca="false">IF(43&lt;5,0,IF(MAX(AP38:AU38)&gt;AU43+3+$B$18,1,0))</f>
        <v>0</v>
      </c>
      <c r="AV52" s="385" t="n">
        <f aca="false">IF(44&lt;5,0,IF(MAX(AQ38:AV38)&gt;AV43+3+$B$18,1,0))</f>
        <v>0</v>
      </c>
      <c r="AW52" s="385" t="n">
        <f aca="false">IF(45&lt;5,0,IF(MAX(AR38:AW38)&gt;AW43+3+$B$18,1,0))</f>
        <v>0</v>
      </c>
      <c r="AX52" s="385" t="n">
        <f aca="false">IF(46&lt;5,0,IF(MAX(AS38:AX38)&gt;AX43+3+$B$18,1,0))</f>
        <v>0</v>
      </c>
      <c r="AY52" s="385" t="n">
        <f aca="false">IF(47&lt;5,0,IF(MAX(AT38:AY38)&gt;AY43+3+$B$18,1,0))</f>
        <v>0</v>
      </c>
      <c r="AZ52" s="385" t="n">
        <f aca="false">IF(48&lt;5,0,IF(MAX(AU38:AZ38)&gt;AZ43+3+$B$18,1,0))</f>
        <v>0</v>
      </c>
      <c r="BA52" s="385" t="n">
        <f aca="false">IF(49&lt;5,0,IF(MAX(AV38:BA38)&gt;BA43+3+$B$18,1,0))</f>
        <v>0</v>
      </c>
      <c r="BB52" s="385" t="n">
        <f aca="false">IF(50&lt;5,0,IF(MAX(AW38:BB38)&gt;BB43+3+$B$18,1,0))</f>
        <v>0</v>
      </c>
      <c r="BC52" s="385" t="n">
        <f aca="false">IF(51&lt;5,0,IF(MAX(AX38:BC38)&gt;BC43+3+$B$18,1,0))</f>
        <v>0</v>
      </c>
      <c r="BD52" s="385" t="n">
        <f aca="false">IF(52&lt;5,0,IF(MAX(AY38:BD38)&gt;BD43+3+$B$18,1,0))</f>
        <v>0</v>
      </c>
      <c r="BE52" s="385" t="n">
        <f aca="false">IF(53&lt;5,0,IF(MAX(AZ38:BE38)&gt;BE43+3+$B$18,1,0))</f>
        <v>0</v>
      </c>
      <c r="BF52" s="385" t="n">
        <f aca="false">IF(54&lt;5,0,IF(MAX(BA38:BF38)&gt;BF43+3+$B$18,1,0))</f>
        <v>0</v>
      </c>
      <c r="BG52" s="385" t="n">
        <f aca="false">IF(55&lt;5,0,IF(MAX(BB38:BG38)&gt;BG43+3+$B$18,1,0))</f>
        <v>0</v>
      </c>
      <c r="BH52" s="385" t="n">
        <f aca="false">IF(56&lt;5,0,IF(MAX(BC38:BH38)&gt;BH43+3+$B$18,1,0))</f>
        <v>0</v>
      </c>
      <c r="BI52" s="385" t="n">
        <f aca="false">IF(57&lt;5,0,IF(MAX(BD38:BI38)&gt;BI43+3+$B$18,1,0))</f>
        <v>0</v>
      </c>
      <c r="BJ52" s="385" t="n">
        <f aca="false">IF(58&lt;5,0,IF(MAX(BE38:BJ38)&gt;BJ43+3+$B$18,1,0))</f>
        <v>0</v>
      </c>
      <c r="BK52" s="385" t="n">
        <f aca="false">IF(59&lt;5,0,IF(MAX(BF38:BK38)&gt;BK43+3+$B$18,1,0))</f>
        <v>0</v>
      </c>
      <c r="BL52" s="385" t="n">
        <f aca="false">IF(60&lt;5,0,IF(MAX(BG38:BL38)&gt;BL43+3+$B$18,1,0))</f>
        <v>0</v>
      </c>
      <c r="BM52" s="385" t="n">
        <f aca="false">IF(61&lt;5,0,IF(MAX(BH38:BM38)&gt;BM43+3+$B$18,1,0))</f>
        <v>0</v>
      </c>
      <c r="BN52" s="385" t="n">
        <f aca="false">IF(62&lt;5,0,IF(MAX(BI38:BN38)&gt;BN43+3+$B$18,1,0))</f>
        <v>0</v>
      </c>
      <c r="BO52" s="385" t="n">
        <f aca="false">IF(63&lt;5,0,IF(MAX(BJ38:BO38)&gt;BO43+3+$B$18,1,0))</f>
        <v>0</v>
      </c>
      <c r="BP52" s="385" t="n">
        <f aca="false">IF(64&lt;5,0,IF(MAX(BK38:BP38)&gt;BP43+3+$B$18,1,0))</f>
        <v>0</v>
      </c>
      <c r="BQ52" s="385" t="n">
        <f aca="false">IF(65&lt;5,0,IF(MAX(BL38:BQ38)&gt;BQ43+3+$B$18,1,0))</f>
        <v>0</v>
      </c>
      <c r="BR52" s="385" t="n">
        <f aca="false">IF(66&lt;5,0,IF(MAX(BM38:BR38)&gt;BR43+3+$B$18,1,0))</f>
        <v>0</v>
      </c>
      <c r="BS52" s="385" t="n">
        <f aca="false">IF(67&lt;5,0,IF(MAX(BN38:BS38)&gt;BS43+3+$B$18,1,0))</f>
        <v>0</v>
      </c>
      <c r="BT52" s="385" t="n">
        <f aca="false">IF(68&lt;5,0,IF(MAX(BO38:BT38)&gt;BT43+3+$B$18,1,0))</f>
        <v>0</v>
      </c>
      <c r="BU52" s="385" t="n">
        <f aca="false">IF(69&lt;5,0,IF(MAX(BP38:BU38)&gt;BU43+3+$B$18,1,0))</f>
        <v>0</v>
      </c>
      <c r="BV52" s="385" t="n">
        <f aca="false">IF(70&lt;5,0,IF(MAX(BQ38:BV38)&gt;BV43+3+$B$18,1,0))</f>
        <v>0</v>
      </c>
      <c r="BW52" s="385" t="n">
        <f aca="false">IF(71&lt;5,0,IF(MAX(BR38:BW38)&gt;BW43+3+$B$18,1,0))</f>
        <v>0</v>
      </c>
      <c r="BX52" s="385" t="n">
        <f aca="false">IF(72&lt;5,0,IF(MAX(BS38:BX38)&gt;BX43+3+$B$18,1,0))</f>
        <v>0</v>
      </c>
      <c r="BY52" s="385" t="n">
        <f aca="false">IF(73&lt;5,0,IF(MAX(BT38:BY38)&gt;BY43+3+$B$18,1,0))</f>
        <v>0</v>
      </c>
      <c r="BZ52" s="385" t="n">
        <f aca="false">IF(74&lt;5,0,IF(MAX(BU38:BZ38)&gt;BZ43+3+$B$18,1,0))</f>
        <v>0</v>
      </c>
      <c r="CA52" s="385" t="n">
        <f aca="false">IF(75&lt;5,0,IF(MAX(BV38:CA38)&gt;CA43+3+$B$18,1,0))</f>
        <v>0</v>
      </c>
      <c r="CB52" s="385" t="n">
        <f aca="false">IF(76&lt;5,0,IF(MAX(BW38:CB38)&gt;CB43+3+$B$18,1,0))</f>
        <v>0</v>
      </c>
      <c r="CC52" s="385" t="n">
        <f aca="false">IF(77&lt;5,0,IF(MAX(BX38:CC38)&gt;CC43+3+$B$18,1,0))</f>
        <v>0</v>
      </c>
      <c r="CD52" s="385" t="n">
        <f aca="false">IF(78&lt;5,0,IF(MAX(BY38:CD38)&gt;CD43+3+$B$18,1,0))</f>
        <v>0</v>
      </c>
      <c r="CE52" s="385" t="n">
        <f aca="false">IF(79&lt;5,0,IF(MAX(BZ38:CE38)&gt;CE43+3+$B$18,1,0))</f>
        <v>0</v>
      </c>
      <c r="CF52" s="385" t="n">
        <f aca="false">IF(80&lt;5,0,IF(MAX(CA38:CF38)&gt;CF43+3+$B$18,1,0))</f>
        <v>0</v>
      </c>
      <c r="CG52" s="385" t="n">
        <f aca="false">IF(81&lt;5,0,IF(MAX(CB38:CG38)&gt;CG43+3+$B$18,1,0))</f>
        <v>0</v>
      </c>
      <c r="CH52" s="385" t="n">
        <f aca="false">IF(82&lt;5,0,IF(MAX(CC38:CH38)&gt;CH43+3+$B$18,1,0))</f>
        <v>0</v>
      </c>
      <c r="CI52" s="385" t="n">
        <f aca="false">IF(83&lt;5,0,IF(MAX(CD38:CI38)&gt;CI43+3+$B$18,1,0))</f>
        <v>0</v>
      </c>
      <c r="CJ52" s="385" t="n">
        <f aca="false">IF(84&lt;5,0,IF(MAX(CE38:CJ38)&gt;CJ43+3+$B$18,1,0))</f>
        <v>0</v>
      </c>
      <c r="CK52" s="385" t="n">
        <f aca="false">IF(85&lt;5,0,IF(MAX(CF38:CK38)&gt;CK43+3+$B$18,1,0))</f>
        <v>0</v>
      </c>
      <c r="CL52" s="385" t="n">
        <f aca="false">IF(86&lt;5,0,IF(MAX(CG38:CL38)&gt;CL43+3+$B$18,1,0))</f>
        <v>0</v>
      </c>
      <c r="CM52" s="385" t="n">
        <f aca="false">IF(87&lt;5,0,IF(MAX(CH38:CM38)&gt;CM43+3+$B$18,1,0))</f>
        <v>0</v>
      </c>
      <c r="CN52" s="385" t="n">
        <f aca="false">IF(88&lt;5,0,IF(MAX(CI38:CN38)&gt;CN43+3+$B$18,1,0))</f>
        <v>0</v>
      </c>
      <c r="CO52" s="385" t="n">
        <f aca="false">IF(89&lt;5,0,IF(MAX(CJ38:CO38)&gt;CO43+3+$B$18,1,0))</f>
        <v>0</v>
      </c>
      <c r="CP52" s="385" t="n">
        <f aca="false">IF(90&lt;5,0,IF(MAX(CK38:CP38)&gt;CP43+3+$B$18,1,0))</f>
        <v>0</v>
      </c>
      <c r="CQ52" s="385" t="n">
        <f aca="false">IF(91&lt;5,0,IF(MAX(CL38:CQ38)&gt;CQ43+3+$B$18,1,0))</f>
        <v>0</v>
      </c>
      <c r="CR52" s="385" t="n">
        <f aca="false">IF(92&lt;5,0,IF(MAX(CM38:CR38)&gt;CR43+3+$B$18,1,0))</f>
        <v>0</v>
      </c>
      <c r="CS52" s="385" t="n">
        <f aca="false">IF(93&lt;5,0,IF(MAX(CN38:CS38)&gt;CS43+3+$B$18,1,0))</f>
        <v>0</v>
      </c>
      <c r="CT52" s="385" t="n">
        <f aca="false">IF(94&lt;5,0,IF(MAX(CO38:CT38)&gt;CT43+3+$B$18,1,0))</f>
        <v>0</v>
      </c>
      <c r="CU52" s="385" t="n">
        <f aca="false">IF(95&lt;5,0,IF(MAX(CP38:CU38)&gt;CU43+3+$B$18,1,0))</f>
        <v>0</v>
      </c>
      <c r="CV52" s="385" t="n">
        <f aca="false">IF(96&lt;5,0,IF(MAX(CQ38:CV38)&gt;CV43+3+$B$18,1,0))</f>
        <v>0</v>
      </c>
      <c r="CW52" s="385" t="n">
        <f aca="false">IF(97&lt;5,0,IF(MAX(CR38:CW38)&gt;CW43+3+$B$18,1,0))</f>
        <v>0</v>
      </c>
      <c r="CX52" s="385" t="n">
        <f aca="false">IF(98&lt;5,0,IF(MAX(CS38:CX38)&gt;CX43+3+$B$18,1,0))</f>
        <v>0</v>
      </c>
      <c r="CY52" s="385" t="n">
        <f aca="false">IF(99&lt;5,0,IF(MAX(CT38:CY38)&gt;CY43+3+$B$18,1,0))</f>
        <v>0</v>
      </c>
      <c r="CZ52" s="385" t="n">
        <f aca="false">IF(100&lt;5,0,IF(MAX(CU38:CZ38)&gt;CZ43+3+$B$18,1,0))</f>
        <v>0</v>
      </c>
      <c r="DA52" s="385" t="n">
        <f aca="false">IF(101&lt;5,0,IF(MAX(CV38:DA38)&gt;DA43+3+$B$18,1,0))</f>
        <v>0</v>
      </c>
      <c r="DB52" s="385" t="n">
        <f aca="false">IF(102&lt;5,0,IF(MAX(CW38:DB38)&gt;DB43+3+$B$18,1,0))</f>
        <v>0</v>
      </c>
      <c r="DC52" s="385" t="n">
        <f aca="false">IF(103&lt;5,0,IF(MAX(CX38:DC38)&gt;DC43+3+$B$18,1,0))</f>
        <v>0</v>
      </c>
      <c r="DD52" s="385" t="n">
        <f aca="false">IF(104&lt;5,0,IF(MAX(CY38:DD38)&gt;DD43+3+$B$18,1,0))</f>
        <v>0</v>
      </c>
      <c r="DE52" s="385" t="n">
        <f aca="false">IF(105&lt;5,0,IF(MAX(CZ38:DE38)&gt;DE43+3+$B$18,1,0))</f>
        <v>0</v>
      </c>
    </row>
    <row r="53" customFormat="false" ht="13.5" hidden="false" customHeight="true" outlineLevel="0" collapsed="false">
      <c r="A53" s="110" t="s">
        <v>1389</v>
      </c>
      <c r="B53" s="213" t="n">
        <f aca="false">$B$26</f>
        <v>160000</v>
      </c>
      <c r="E53" s="385" t="n">
        <f aca="false">IF(1&lt;5,0,IF(MAX(E38)&gt;E43+4+$B$18,1,0))</f>
        <v>0</v>
      </c>
      <c r="F53" s="385" t="n">
        <f aca="false">IF(2&lt;5,0,IF(MAX(E38:F38)&gt;F43+4+$B$18,1,0))</f>
        <v>0</v>
      </c>
      <c r="G53" s="385" t="n">
        <f aca="false">IF(3&lt;5,0,IF(MAX(E38:G38)&gt;G43+4+$B$18,1,0))</f>
        <v>0</v>
      </c>
      <c r="H53" s="385" t="n">
        <f aca="false">IF(4&lt;5,0,IF(MAX(E38:H38)&gt;H43+4+$B$18,1,0))</f>
        <v>0</v>
      </c>
      <c r="I53" s="385" t="n">
        <f aca="false">IF(5&lt;5,0,IF(MAX(E38:I38)&gt;I43+4+$B$18,1,0))</f>
        <v>0</v>
      </c>
      <c r="J53" s="385" t="n">
        <f aca="false">IF(6&lt;5,0,IF(MAX(E38:J38)&gt;J43+4+$B$18,1,0))</f>
        <v>0</v>
      </c>
      <c r="K53" s="385" t="n">
        <f aca="false">IF(7&lt;5,0,IF(MAX(F38:K38)&gt;K43+4+$B$18,1,0))</f>
        <v>0</v>
      </c>
      <c r="L53" s="385" t="n">
        <f aca="false">IF(8&lt;5,0,IF(MAX(G38:L38)&gt;L43+4+$B$18,1,0))</f>
        <v>0</v>
      </c>
      <c r="M53" s="385" t="n">
        <f aca="false">IF(9&lt;5,0,IF(MAX(H38:M38)&gt;M43+4+$B$18,1,0))</f>
        <v>0</v>
      </c>
      <c r="N53" s="385" t="n">
        <f aca="false">IF(10&lt;5,0,IF(MAX(I38:N38)&gt;N43+4+$B$18,1,0))</f>
        <v>0</v>
      </c>
      <c r="O53" s="385" t="n">
        <f aca="false">IF(11&lt;5,0,IF(MAX(J38:O38)&gt;O43+4+$B$18,1,0))</f>
        <v>0</v>
      </c>
      <c r="P53" s="385" t="n">
        <f aca="false">IF(12&lt;5,0,IF(MAX(K38:P38)&gt;P43+4+$B$18,1,0))</f>
        <v>0</v>
      </c>
      <c r="Q53" s="385" t="n">
        <f aca="false">IF(13&lt;5,0,IF(MAX(L38:Q38)&gt;Q43+4+$B$18,1,0))</f>
        <v>0</v>
      </c>
      <c r="R53" s="385" t="n">
        <f aca="false">IF(14&lt;5,0,IF(MAX(M38:R38)&gt;R43+4+$B$18,1,0))</f>
        <v>0</v>
      </c>
      <c r="S53" s="385" t="n">
        <f aca="false">IF(15&lt;5,0,IF(MAX(N38:S38)&gt;S43+4+$B$18,1,0))</f>
        <v>0</v>
      </c>
      <c r="T53" s="385" t="n">
        <f aca="false">IF(16&lt;5,0,IF(MAX(O38:T38)&gt;T43+4+$B$18,1,0))</f>
        <v>0</v>
      </c>
      <c r="U53" s="385" t="n">
        <f aca="false">IF(17&lt;5,0,IF(MAX(P38:U38)&gt;U43+4+$B$18,1,0))</f>
        <v>0</v>
      </c>
      <c r="V53" s="385" t="n">
        <f aca="false">IF(18&lt;5,0,IF(MAX(Q38:V38)&gt;V43+4+$B$18,1,0))</f>
        <v>0</v>
      </c>
      <c r="W53" s="385" t="n">
        <f aca="false">IF(19&lt;5,0,IF(MAX(R38:W38)&gt;W43+4+$B$18,1,0))</f>
        <v>0</v>
      </c>
      <c r="X53" s="385" t="n">
        <f aca="false">IF(20&lt;5,0,IF(MAX(S38:X38)&gt;X43+4+$B$18,1,0))</f>
        <v>0</v>
      </c>
      <c r="Y53" s="385" t="n">
        <f aca="false">IF(21&lt;5,0,IF(MAX(T38:Y38)&gt;Y43+4+$B$18,1,0))</f>
        <v>0</v>
      </c>
      <c r="Z53" s="385" t="n">
        <f aca="false">IF(22&lt;5,0,IF(MAX(U38:Z38)&gt;Z43+4+$B$18,1,0))</f>
        <v>0</v>
      </c>
      <c r="AA53" s="385" t="n">
        <f aca="false">IF(23&lt;5,0,IF(MAX(V38:AA38)&gt;AA43+4+$B$18,1,0))</f>
        <v>0</v>
      </c>
      <c r="AB53" s="385" t="n">
        <f aca="false">IF(24&lt;5,0,IF(MAX(W38:AB38)&gt;AB43+4+$B$18,1,0))</f>
        <v>0</v>
      </c>
      <c r="AC53" s="385" t="n">
        <f aca="false">IF(25&lt;5,0,IF(MAX(X38:AC38)&gt;AC43+4+$B$18,1,0))</f>
        <v>0</v>
      </c>
      <c r="AD53" s="385" t="n">
        <f aca="false">IF(26&lt;5,0,IF(MAX(Y38:AD38)&gt;AD43+4+$B$18,1,0))</f>
        <v>0</v>
      </c>
      <c r="AE53" s="385" t="n">
        <f aca="false">IF(27&lt;5,0,IF(MAX(Z38:AE38)&gt;AE43+4+$B$18,1,0))</f>
        <v>0</v>
      </c>
      <c r="AF53" s="385" t="n">
        <f aca="false">IF(28&lt;5,0,IF(MAX(AA38:AF38)&gt;AF43+4+$B$18,1,0))</f>
        <v>0</v>
      </c>
      <c r="AG53" s="385" t="n">
        <f aca="false">IF(29&lt;5,0,IF(MAX(AB38:AG38)&gt;AG43+4+$B$18,1,0))</f>
        <v>0</v>
      </c>
      <c r="AH53" s="385" t="n">
        <f aca="false">IF(30&lt;5,0,IF(MAX(AC38:AH38)&gt;AH43+4+$B$18,1,0))</f>
        <v>0</v>
      </c>
      <c r="AI53" s="385" t="n">
        <f aca="false">IF(31&lt;5,0,IF(MAX(AD38:AI38)&gt;AI43+4+$B$18,1,0))</f>
        <v>0</v>
      </c>
      <c r="AJ53" s="385" t="n">
        <f aca="false">IF(32&lt;5,0,IF(MAX(AE38:AJ38)&gt;AJ43+4+$B$18,1,0))</f>
        <v>0</v>
      </c>
      <c r="AK53" s="385" t="n">
        <f aca="false">IF(33&lt;5,0,IF(MAX(AF38:AK38)&gt;AK43+4+$B$18,1,0))</f>
        <v>0</v>
      </c>
      <c r="AL53" s="385" t="n">
        <f aca="false">IF(34&lt;5,0,IF(MAX(AG38:AL38)&gt;AL43+4+$B$18,1,0))</f>
        <v>0</v>
      </c>
      <c r="AM53" s="385" t="n">
        <f aca="false">IF(35&lt;5,0,IF(MAX(AH38:AM38)&gt;AM43+4+$B$18,1,0))</f>
        <v>0</v>
      </c>
      <c r="AN53" s="385" t="n">
        <f aca="false">IF(36&lt;5,0,IF(MAX(AI38:AN38)&gt;AN43+4+$B$18,1,0))</f>
        <v>0</v>
      </c>
      <c r="AO53" s="385" t="n">
        <f aca="false">IF(37&lt;5,0,IF(MAX(AJ38:AO38)&gt;AO43+4+$B$18,1,0))</f>
        <v>0</v>
      </c>
      <c r="AP53" s="385" t="n">
        <f aca="false">IF(38&lt;5,0,IF(MAX(AK38:AP38)&gt;AP43+4+$B$18,1,0))</f>
        <v>0</v>
      </c>
      <c r="AQ53" s="385" t="n">
        <f aca="false">IF(39&lt;5,0,IF(MAX(AL38:AQ38)&gt;AQ43+4+$B$18,1,0))</f>
        <v>0</v>
      </c>
      <c r="AR53" s="385" t="n">
        <f aca="false">IF(40&lt;5,0,IF(MAX(AM38:AR38)&gt;AR43+4+$B$18,1,0))</f>
        <v>0</v>
      </c>
      <c r="AS53" s="385" t="n">
        <f aca="false">IF(41&lt;5,0,IF(MAX(AN38:AS38)&gt;AS43+4+$B$18,1,0))</f>
        <v>0</v>
      </c>
      <c r="AT53" s="385" t="n">
        <f aca="false">IF(42&lt;5,0,IF(MAX(AO38:AT38)&gt;AT43+4+$B$18,1,0))</f>
        <v>0</v>
      </c>
      <c r="AU53" s="385" t="n">
        <f aca="false">IF(43&lt;5,0,IF(MAX(AP38:AU38)&gt;AU43+4+$B$18,1,0))</f>
        <v>0</v>
      </c>
      <c r="AV53" s="385" t="n">
        <f aca="false">IF(44&lt;5,0,IF(MAX(AQ38:AV38)&gt;AV43+4+$B$18,1,0))</f>
        <v>0</v>
      </c>
      <c r="AW53" s="385" t="n">
        <f aca="false">IF(45&lt;5,0,IF(MAX(AR38:AW38)&gt;AW43+4+$B$18,1,0))</f>
        <v>0</v>
      </c>
      <c r="AX53" s="385" t="n">
        <f aca="false">IF(46&lt;5,0,IF(MAX(AS38:AX38)&gt;AX43+4+$B$18,1,0))</f>
        <v>0</v>
      </c>
      <c r="AY53" s="385" t="n">
        <f aca="false">IF(47&lt;5,0,IF(MAX(AT38:AY38)&gt;AY43+4+$B$18,1,0))</f>
        <v>0</v>
      </c>
      <c r="AZ53" s="385" t="n">
        <f aca="false">IF(48&lt;5,0,IF(MAX(AU38:AZ38)&gt;AZ43+4+$B$18,1,0))</f>
        <v>0</v>
      </c>
      <c r="BA53" s="385" t="n">
        <f aca="false">IF(49&lt;5,0,IF(MAX(AV38:BA38)&gt;BA43+4+$B$18,1,0))</f>
        <v>0</v>
      </c>
      <c r="BB53" s="385" t="n">
        <f aca="false">IF(50&lt;5,0,IF(MAX(AW38:BB38)&gt;BB43+4+$B$18,1,0))</f>
        <v>0</v>
      </c>
      <c r="BC53" s="385" t="n">
        <f aca="false">IF(51&lt;5,0,IF(MAX(AX38:BC38)&gt;BC43+4+$B$18,1,0))</f>
        <v>0</v>
      </c>
      <c r="BD53" s="385" t="n">
        <f aca="false">IF(52&lt;5,0,IF(MAX(AY38:BD38)&gt;BD43+4+$B$18,1,0))</f>
        <v>0</v>
      </c>
      <c r="BE53" s="385" t="n">
        <f aca="false">IF(53&lt;5,0,IF(MAX(AZ38:BE38)&gt;BE43+4+$B$18,1,0))</f>
        <v>0</v>
      </c>
      <c r="BF53" s="385" t="n">
        <f aca="false">IF(54&lt;5,0,IF(MAX(BA38:BF38)&gt;BF43+4+$B$18,1,0))</f>
        <v>0</v>
      </c>
      <c r="BG53" s="385" t="n">
        <f aca="false">IF(55&lt;5,0,IF(MAX(BB38:BG38)&gt;BG43+4+$B$18,1,0))</f>
        <v>0</v>
      </c>
      <c r="BH53" s="385" t="n">
        <f aca="false">IF(56&lt;5,0,IF(MAX(BC38:BH38)&gt;BH43+4+$B$18,1,0))</f>
        <v>0</v>
      </c>
      <c r="BI53" s="385" t="n">
        <f aca="false">IF(57&lt;5,0,IF(MAX(BD38:BI38)&gt;BI43+4+$B$18,1,0))</f>
        <v>0</v>
      </c>
      <c r="BJ53" s="385" t="n">
        <f aca="false">IF(58&lt;5,0,IF(MAX(BE38:BJ38)&gt;BJ43+4+$B$18,1,0))</f>
        <v>0</v>
      </c>
      <c r="BK53" s="385" t="n">
        <f aca="false">IF(59&lt;5,0,IF(MAX(BF38:BK38)&gt;BK43+4+$B$18,1,0))</f>
        <v>0</v>
      </c>
      <c r="BL53" s="385" t="n">
        <f aca="false">IF(60&lt;5,0,IF(MAX(BG38:BL38)&gt;BL43+4+$B$18,1,0))</f>
        <v>0</v>
      </c>
      <c r="BM53" s="385" t="n">
        <f aca="false">IF(61&lt;5,0,IF(MAX(BH38:BM38)&gt;BM43+4+$B$18,1,0))</f>
        <v>0</v>
      </c>
      <c r="BN53" s="385" t="n">
        <f aca="false">IF(62&lt;5,0,IF(MAX(BI38:BN38)&gt;BN43+4+$B$18,1,0))</f>
        <v>0</v>
      </c>
      <c r="BO53" s="385" t="n">
        <f aca="false">IF(63&lt;5,0,IF(MAX(BJ38:BO38)&gt;BO43+4+$B$18,1,0))</f>
        <v>0</v>
      </c>
      <c r="BP53" s="385" t="n">
        <f aca="false">IF(64&lt;5,0,IF(MAX(BK38:BP38)&gt;BP43+4+$B$18,1,0))</f>
        <v>0</v>
      </c>
      <c r="BQ53" s="385" t="n">
        <f aca="false">IF(65&lt;5,0,IF(MAX(BL38:BQ38)&gt;BQ43+4+$B$18,1,0))</f>
        <v>0</v>
      </c>
      <c r="BR53" s="385" t="n">
        <f aca="false">IF(66&lt;5,0,IF(MAX(BM38:BR38)&gt;BR43+4+$B$18,1,0))</f>
        <v>0</v>
      </c>
      <c r="BS53" s="385" t="n">
        <f aca="false">IF(67&lt;5,0,IF(MAX(BN38:BS38)&gt;BS43+4+$B$18,1,0))</f>
        <v>0</v>
      </c>
      <c r="BT53" s="385" t="n">
        <f aca="false">IF(68&lt;5,0,IF(MAX(BO38:BT38)&gt;BT43+4+$B$18,1,0))</f>
        <v>0</v>
      </c>
      <c r="BU53" s="385" t="n">
        <f aca="false">IF(69&lt;5,0,IF(MAX(BP38:BU38)&gt;BU43+4+$B$18,1,0))</f>
        <v>0</v>
      </c>
      <c r="BV53" s="385" t="n">
        <f aca="false">IF(70&lt;5,0,IF(MAX(BQ38:BV38)&gt;BV43+4+$B$18,1,0))</f>
        <v>0</v>
      </c>
      <c r="BW53" s="385" t="n">
        <f aca="false">IF(71&lt;5,0,IF(MAX(BR38:BW38)&gt;BW43+4+$B$18,1,0))</f>
        <v>0</v>
      </c>
      <c r="BX53" s="385" t="n">
        <f aca="false">IF(72&lt;5,0,IF(MAX(BS38:BX38)&gt;BX43+4+$B$18,1,0))</f>
        <v>0</v>
      </c>
      <c r="BY53" s="385" t="n">
        <f aca="false">IF(73&lt;5,0,IF(MAX(BT38:BY38)&gt;BY43+4+$B$18,1,0))</f>
        <v>0</v>
      </c>
      <c r="BZ53" s="385" t="n">
        <f aca="false">IF(74&lt;5,0,IF(MAX(BU38:BZ38)&gt;BZ43+4+$B$18,1,0))</f>
        <v>0</v>
      </c>
      <c r="CA53" s="385" t="n">
        <f aca="false">IF(75&lt;5,0,IF(MAX(BV38:CA38)&gt;CA43+4+$B$18,1,0))</f>
        <v>0</v>
      </c>
      <c r="CB53" s="385" t="n">
        <f aca="false">IF(76&lt;5,0,IF(MAX(BW38:CB38)&gt;CB43+4+$B$18,1,0))</f>
        <v>0</v>
      </c>
      <c r="CC53" s="385" t="n">
        <f aca="false">IF(77&lt;5,0,IF(MAX(BX38:CC38)&gt;CC43+4+$B$18,1,0))</f>
        <v>0</v>
      </c>
      <c r="CD53" s="385" t="n">
        <f aca="false">IF(78&lt;5,0,IF(MAX(BY38:CD38)&gt;CD43+4+$B$18,1,0))</f>
        <v>0</v>
      </c>
      <c r="CE53" s="385" t="n">
        <f aca="false">IF(79&lt;5,0,IF(MAX(BZ38:CE38)&gt;CE43+4+$B$18,1,0))</f>
        <v>0</v>
      </c>
      <c r="CF53" s="385" t="n">
        <f aca="false">IF(80&lt;5,0,IF(MAX(CA38:CF38)&gt;CF43+4+$B$18,1,0))</f>
        <v>0</v>
      </c>
      <c r="CG53" s="385" t="n">
        <f aca="false">IF(81&lt;5,0,IF(MAX(CB38:CG38)&gt;CG43+4+$B$18,1,0))</f>
        <v>0</v>
      </c>
      <c r="CH53" s="385" t="n">
        <f aca="false">IF(82&lt;5,0,IF(MAX(CC38:CH38)&gt;CH43+4+$B$18,1,0))</f>
        <v>0</v>
      </c>
      <c r="CI53" s="385" t="n">
        <f aca="false">IF(83&lt;5,0,IF(MAX(CD38:CI38)&gt;CI43+4+$B$18,1,0))</f>
        <v>0</v>
      </c>
      <c r="CJ53" s="385" t="n">
        <f aca="false">IF(84&lt;5,0,IF(MAX(CE38:CJ38)&gt;CJ43+4+$B$18,1,0))</f>
        <v>0</v>
      </c>
      <c r="CK53" s="385" t="n">
        <f aca="false">IF(85&lt;5,0,IF(MAX(CF38:CK38)&gt;CK43+4+$B$18,1,0))</f>
        <v>0</v>
      </c>
      <c r="CL53" s="385" t="n">
        <f aca="false">IF(86&lt;5,0,IF(MAX(CG38:CL38)&gt;CL43+4+$B$18,1,0))</f>
        <v>0</v>
      </c>
      <c r="CM53" s="385" t="n">
        <f aca="false">IF(87&lt;5,0,IF(MAX(CH38:CM38)&gt;CM43+4+$B$18,1,0))</f>
        <v>0</v>
      </c>
      <c r="CN53" s="385" t="n">
        <f aca="false">IF(88&lt;5,0,IF(MAX(CI38:CN38)&gt;CN43+4+$B$18,1,0))</f>
        <v>0</v>
      </c>
      <c r="CO53" s="385" t="n">
        <f aca="false">IF(89&lt;5,0,IF(MAX(CJ38:CO38)&gt;CO43+4+$B$18,1,0))</f>
        <v>0</v>
      </c>
      <c r="CP53" s="385" t="n">
        <f aca="false">IF(90&lt;5,0,IF(MAX(CK38:CP38)&gt;CP43+4+$B$18,1,0))</f>
        <v>0</v>
      </c>
      <c r="CQ53" s="385" t="n">
        <f aca="false">IF(91&lt;5,0,IF(MAX(CL38:CQ38)&gt;CQ43+4+$B$18,1,0))</f>
        <v>0</v>
      </c>
      <c r="CR53" s="385" t="n">
        <f aca="false">IF(92&lt;5,0,IF(MAX(CM38:CR38)&gt;CR43+4+$B$18,1,0))</f>
        <v>0</v>
      </c>
      <c r="CS53" s="385" t="n">
        <f aca="false">IF(93&lt;5,0,IF(MAX(CN38:CS38)&gt;CS43+4+$B$18,1,0))</f>
        <v>0</v>
      </c>
      <c r="CT53" s="385" t="n">
        <f aca="false">IF(94&lt;5,0,IF(MAX(CO38:CT38)&gt;CT43+4+$B$18,1,0))</f>
        <v>0</v>
      </c>
      <c r="CU53" s="385" t="n">
        <f aca="false">IF(95&lt;5,0,IF(MAX(CP38:CU38)&gt;CU43+4+$B$18,1,0))</f>
        <v>0</v>
      </c>
      <c r="CV53" s="385" t="n">
        <f aca="false">IF(96&lt;5,0,IF(MAX(CQ38:CV38)&gt;CV43+4+$B$18,1,0))</f>
        <v>0</v>
      </c>
      <c r="CW53" s="385" t="n">
        <f aca="false">IF(97&lt;5,0,IF(MAX(CR38:CW38)&gt;CW43+4+$B$18,1,0))</f>
        <v>0</v>
      </c>
      <c r="CX53" s="385" t="n">
        <f aca="false">IF(98&lt;5,0,IF(MAX(CS38:CX38)&gt;CX43+4+$B$18,1,0))</f>
        <v>0</v>
      </c>
      <c r="CY53" s="385" t="n">
        <f aca="false">IF(99&lt;5,0,IF(MAX(CT38:CY38)&gt;CY43+4+$B$18,1,0))</f>
        <v>0</v>
      </c>
      <c r="CZ53" s="385" t="n">
        <f aca="false">IF(100&lt;5,0,IF(MAX(CU38:CZ38)&gt;CZ43+4+$B$18,1,0))</f>
        <v>0</v>
      </c>
      <c r="DA53" s="385" t="n">
        <f aca="false">IF(101&lt;5,0,IF(MAX(CV38:DA38)&gt;DA43+4+$B$18,1,0))</f>
        <v>0</v>
      </c>
      <c r="DB53" s="385" t="n">
        <f aca="false">IF(102&lt;5,0,IF(MAX(CW38:DB38)&gt;DB43+4+$B$18,1,0))</f>
        <v>0</v>
      </c>
      <c r="DC53" s="385" t="n">
        <f aca="false">IF(103&lt;5,0,IF(MAX(CX38:DC38)&gt;DC43+4+$B$18,1,0))</f>
        <v>0</v>
      </c>
      <c r="DD53" s="385" t="n">
        <f aca="false">IF(104&lt;5,0,IF(MAX(CY38:DD38)&gt;DD43+4+$B$18,1,0))</f>
        <v>0</v>
      </c>
      <c r="DE53" s="385" t="n">
        <f aca="false">IF(105&lt;5,0,IF(MAX(CZ38:DE38)&gt;DE43+4+$B$18,1,0))</f>
        <v>0</v>
      </c>
    </row>
    <row r="54" customFormat="false" ht="13.5" hidden="false" customHeight="true" outlineLevel="0" collapsed="false">
      <c r="A54" s="110" t="s">
        <v>1390</v>
      </c>
      <c r="B54" s="213" t="n">
        <f aca="false">$B$27</f>
        <v>125000</v>
      </c>
      <c r="E54" s="385" t="n">
        <f aca="false">IF(1&lt;5,0,IF(MAX(E38)&gt;E43+5+$B$18,1,0))</f>
        <v>0</v>
      </c>
      <c r="F54" s="385" t="n">
        <f aca="false">IF(2&lt;5,0,IF(MAX(E38:F38)&gt;F43+5+$B$18,1,0))</f>
        <v>0</v>
      </c>
      <c r="G54" s="385" t="n">
        <f aca="false">IF(3&lt;5,0,IF(MAX(E38:G38)&gt;G43+5+$B$18,1,0))</f>
        <v>0</v>
      </c>
      <c r="H54" s="385" t="n">
        <f aca="false">IF(4&lt;5,0,IF(MAX(E38:H38)&gt;H43+5+$B$18,1,0))</f>
        <v>0</v>
      </c>
      <c r="I54" s="385" t="n">
        <f aca="false">IF(5&lt;5,0,IF(MAX(E38:I38)&gt;I43+5+$B$18,1,0))</f>
        <v>0</v>
      </c>
      <c r="J54" s="385" t="n">
        <f aca="false">IF(6&lt;5,0,IF(MAX(E38:J38)&gt;J43+5+$B$18,1,0))</f>
        <v>0</v>
      </c>
      <c r="K54" s="385" t="n">
        <f aca="false">IF(7&lt;5,0,IF(MAX(F38:K38)&gt;K43+5+$B$18,1,0))</f>
        <v>0</v>
      </c>
      <c r="L54" s="385" t="n">
        <f aca="false">IF(8&lt;5,0,IF(MAX(G38:L38)&gt;L43+5+$B$18,1,0))</f>
        <v>0</v>
      </c>
      <c r="M54" s="385" t="n">
        <f aca="false">IF(9&lt;5,0,IF(MAX(H38:M38)&gt;M43+5+$B$18,1,0))</f>
        <v>0</v>
      </c>
      <c r="N54" s="385" t="n">
        <f aca="false">IF(10&lt;5,0,IF(MAX(I38:N38)&gt;N43+5+$B$18,1,0))</f>
        <v>0</v>
      </c>
      <c r="O54" s="385" t="n">
        <f aca="false">IF(11&lt;5,0,IF(MAX(J38:O38)&gt;O43+5+$B$18,1,0))</f>
        <v>0</v>
      </c>
      <c r="P54" s="385" t="n">
        <f aca="false">IF(12&lt;5,0,IF(MAX(K38:P38)&gt;P43+5+$B$18,1,0))</f>
        <v>0</v>
      </c>
      <c r="Q54" s="385" t="n">
        <f aca="false">IF(13&lt;5,0,IF(MAX(L38:Q38)&gt;Q43+5+$B$18,1,0))</f>
        <v>0</v>
      </c>
      <c r="R54" s="385" t="n">
        <f aca="false">IF(14&lt;5,0,IF(MAX(M38:R38)&gt;R43+5+$B$18,1,0))</f>
        <v>0</v>
      </c>
      <c r="S54" s="385" t="n">
        <f aca="false">IF(15&lt;5,0,IF(MAX(N38:S38)&gt;S43+5+$B$18,1,0))</f>
        <v>0</v>
      </c>
      <c r="T54" s="385" t="n">
        <f aca="false">IF(16&lt;5,0,IF(MAX(O38:T38)&gt;T43+5+$B$18,1,0))</f>
        <v>0</v>
      </c>
      <c r="U54" s="385" t="n">
        <f aca="false">IF(17&lt;5,0,IF(MAX(P38:U38)&gt;U43+5+$B$18,1,0))</f>
        <v>0</v>
      </c>
      <c r="V54" s="385" t="n">
        <f aca="false">IF(18&lt;5,0,IF(MAX(Q38:V38)&gt;V43+5+$B$18,1,0))</f>
        <v>0</v>
      </c>
      <c r="W54" s="385" t="n">
        <f aca="false">IF(19&lt;5,0,IF(MAX(R38:W38)&gt;W43+5+$B$18,1,0))</f>
        <v>0</v>
      </c>
      <c r="X54" s="385" t="n">
        <f aca="false">IF(20&lt;5,0,IF(MAX(S38:X38)&gt;X43+5+$B$18,1,0))</f>
        <v>0</v>
      </c>
      <c r="Y54" s="385" t="n">
        <f aca="false">IF(21&lt;5,0,IF(MAX(T38:Y38)&gt;Y43+5+$B$18,1,0))</f>
        <v>0</v>
      </c>
      <c r="Z54" s="385" t="n">
        <f aca="false">IF(22&lt;5,0,IF(MAX(U38:Z38)&gt;Z43+5+$B$18,1,0))</f>
        <v>0</v>
      </c>
      <c r="AA54" s="385" t="n">
        <f aca="false">IF(23&lt;5,0,IF(MAX(V38:AA38)&gt;AA43+5+$B$18,1,0))</f>
        <v>0</v>
      </c>
      <c r="AB54" s="385" t="n">
        <f aca="false">IF(24&lt;5,0,IF(MAX(W38:AB38)&gt;AB43+5+$B$18,1,0))</f>
        <v>0</v>
      </c>
      <c r="AC54" s="385" t="n">
        <f aca="false">IF(25&lt;5,0,IF(MAX(X38:AC38)&gt;AC43+5+$B$18,1,0))</f>
        <v>0</v>
      </c>
      <c r="AD54" s="385" t="n">
        <f aca="false">IF(26&lt;5,0,IF(MAX(Y38:AD38)&gt;AD43+5+$B$18,1,0))</f>
        <v>0</v>
      </c>
      <c r="AE54" s="385" t="n">
        <f aca="false">IF(27&lt;5,0,IF(MAX(Z38:AE38)&gt;AE43+5+$B$18,1,0))</f>
        <v>0</v>
      </c>
      <c r="AF54" s="385" t="n">
        <f aca="false">IF(28&lt;5,0,IF(MAX(AA38:AF38)&gt;AF43+5+$B$18,1,0))</f>
        <v>0</v>
      </c>
      <c r="AG54" s="385" t="n">
        <f aca="false">IF(29&lt;5,0,IF(MAX(AB38:AG38)&gt;AG43+5+$B$18,1,0))</f>
        <v>0</v>
      </c>
      <c r="AH54" s="385" t="n">
        <f aca="false">IF(30&lt;5,0,IF(MAX(AC38:AH38)&gt;AH43+5+$B$18,1,0))</f>
        <v>0</v>
      </c>
      <c r="AI54" s="385" t="n">
        <f aca="false">IF(31&lt;5,0,IF(MAX(AD38:AI38)&gt;AI43+5+$B$18,1,0))</f>
        <v>0</v>
      </c>
      <c r="AJ54" s="385" t="n">
        <f aca="false">IF(32&lt;5,0,IF(MAX(AE38:AJ38)&gt;AJ43+5+$B$18,1,0))</f>
        <v>0</v>
      </c>
      <c r="AK54" s="385" t="n">
        <f aca="false">IF(33&lt;5,0,IF(MAX(AF38:AK38)&gt;AK43+5+$B$18,1,0))</f>
        <v>0</v>
      </c>
      <c r="AL54" s="385" t="n">
        <f aca="false">IF(34&lt;5,0,IF(MAX(AG38:AL38)&gt;AL43+5+$B$18,1,0))</f>
        <v>0</v>
      </c>
      <c r="AM54" s="385" t="n">
        <f aca="false">IF(35&lt;5,0,IF(MAX(AH38:AM38)&gt;AM43+5+$B$18,1,0))</f>
        <v>0</v>
      </c>
      <c r="AN54" s="385" t="n">
        <f aca="false">IF(36&lt;5,0,IF(MAX(AI38:AN38)&gt;AN43+5+$B$18,1,0))</f>
        <v>0</v>
      </c>
      <c r="AO54" s="385" t="n">
        <f aca="false">IF(37&lt;5,0,IF(MAX(AJ38:AO38)&gt;AO43+5+$B$18,1,0))</f>
        <v>0</v>
      </c>
      <c r="AP54" s="385" t="n">
        <f aca="false">IF(38&lt;5,0,IF(MAX(AK38:AP38)&gt;AP43+5+$B$18,1,0))</f>
        <v>0</v>
      </c>
      <c r="AQ54" s="385" t="n">
        <f aca="false">IF(39&lt;5,0,IF(MAX(AL38:AQ38)&gt;AQ43+5+$B$18,1,0))</f>
        <v>0</v>
      </c>
      <c r="AR54" s="385" t="n">
        <f aca="false">IF(40&lt;5,0,IF(MAX(AM38:AR38)&gt;AR43+5+$B$18,1,0))</f>
        <v>0</v>
      </c>
      <c r="AS54" s="385" t="n">
        <f aca="false">IF(41&lt;5,0,IF(MAX(AN38:AS38)&gt;AS43+5+$B$18,1,0))</f>
        <v>0</v>
      </c>
      <c r="AT54" s="385" t="n">
        <f aca="false">IF(42&lt;5,0,IF(MAX(AO38:AT38)&gt;AT43+5+$B$18,1,0))</f>
        <v>0</v>
      </c>
      <c r="AU54" s="385" t="n">
        <f aca="false">IF(43&lt;5,0,IF(MAX(AP38:AU38)&gt;AU43+5+$B$18,1,0))</f>
        <v>0</v>
      </c>
      <c r="AV54" s="385" t="n">
        <f aca="false">IF(44&lt;5,0,IF(MAX(AQ38:AV38)&gt;AV43+5+$B$18,1,0))</f>
        <v>0</v>
      </c>
      <c r="AW54" s="385" t="n">
        <f aca="false">IF(45&lt;5,0,IF(MAX(AR38:AW38)&gt;AW43+5+$B$18,1,0))</f>
        <v>0</v>
      </c>
      <c r="AX54" s="385" t="n">
        <f aca="false">IF(46&lt;5,0,IF(MAX(AS38:AX38)&gt;AX43+5+$B$18,1,0))</f>
        <v>0</v>
      </c>
      <c r="AY54" s="385" t="n">
        <f aca="false">IF(47&lt;5,0,IF(MAX(AT38:AY38)&gt;AY43+5+$B$18,1,0))</f>
        <v>0</v>
      </c>
      <c r="AZ54" s="385" t="n">
        <f aca="false">IF(48&lt;5,0,IF(MAX(AU38:AZ38)&gt;AZ43+5+$B$18,1,0))</f>
        <v>0</v>
      </c>
      <c r="BA54" s="385" t="n">
        <f aca="false">IF(49&lt;5,0,IF(MAX(AV38:BA38)&gt;BA43+5+$B$18,1,0))</f>
        <v>0</v>
      </c>
      <c r="BB54" s="385" t="n">
        <f aca="false">IF(50&lt;5,0,IF(MAX(AW38:BB38)&gt;BB43+5+$B$18,1,0))</f>
        <v>0</v>
      </c>
      <c r="BC54" s="385" t="n">
        <f aca="false">IF(51&lt;5,0,IF(MAX(AX38:BC38)&gt;BC43+5+$B$18,1,0))</f>
        <v>0</v>
      </c>
      <c r="BD54" s="385" t="n">
        <f aca="false">IF(52&lt;5,0,IF(MAX(AY38:BD38)&gt;BD43+5+$B$18,1,0))</f>
        <v>0</v>
      </c>
      <c r="BE54" s="385" t="n">
        <f aca="false">IF(53&lt;5,0,IF(MAX(AZ38:BE38)&gt;BE43+5+$B$18,1,0))</f>
        <v>0</v>
      </c>
      <c r="BF54" s="385" t="n">
        <f aca="false">IF(54&lt;5,0,IF(MAX(BA38:BF38)&gt;BF43+5+$B$18,1,0))</f>
        <v>0</v>
      </c>
      <c r="BG54" s="385" t="n">
        <f aca="false">IF(55&lt;5,0,IF(MAX(BB38:BG38)&gt;BG43+5+$B$18,1,0))</f>
        <v>0</v>
      </c>
      <c r="BH54" s="385" t="n">
        <f aca="false">IF(56&lt;5,0,IF(MAX(BC38:BH38)&gt;BH43+5+$B$18,1,0))</f>
        <v>0</v>
      </c>
      <c r="BI54" s="385" t="n">
        <f aca="false">IF(57&lt;5,0,IF(MAX(BD38:BI38)&gt;BI43+5+$B$18,1,0))</f>
        <v>0</v>
      </c>
      <c r="BJ54" s="385" t="n">
        <f aca="false">IF(58&lt;5,0,IF(MAX(BE38:BJ38)&gt;BJ43+5+$B$18,1,0))</f>
        <v>0</v>
      </c>
      <c r="BK54" s="385" t="n">
        <f aca="false">IF(59&lt;5,0,IF(MAX(BF38:BK38)&gt;BK43+5+$B$18,1,0))</f>
        <v>0</v>
      </c>
      <c r="BL54" s="385" t="n">
        <f aca="false">IF(60&lt;5,0,IF(MAX(BG38:BL38)&gt;BL43+5+$B$18,1,0))</f>
        <v>0</v>
      </c>
      <c r="BM54" s="385" t="n">
        <f aca="false">IF(61&lt;5,0,IF(MAX(BH38:BM38)&gt;BM43+5+$B$18,1,0))</f>
        <v>0</v>
      </c>
      <c r="BN54" s="385" t="n">
        <f aca="false">IF(62&lt;5,0,IF(MAX(BI38:BN38)&gt;BN43+5+$B$18,1,0))</f>
        <v>0</v>
      </c>
      <c r="BO54" s="385" t="n">
        <f aca="false">IF(63&lt;5,0,IF(MAX(BJ38:BO38)&gt;BO43+5+$B$18,1,0))</f>
        <v>0</v>
      </c>
      <c r="BP54" s="385" t="n">
        <f aca="false">IF(64&lt;5,0,IF(MAX(BK38:BP38)&gt;BP43+5+$B$18,1,0))</f>
        <v>0</v>
      </c>
      <c r="BQ54" s="385" t="n">
        <f aca="false">IF(65&lt;5,0,IF(MAX(BL38:BQ38)&gt;BQ43+5+$B$18,1,0))</f>
        <v>0</v>
      </c>
      <c r="BR54" s="385" t="n">
        <f aca="false">IF(66&lt;5,0,IF(MAX(BM38:BR38)&gt;BR43+5+$B$18,1,0))</f>
        <v>0</v>
      </c>
      <c r="BS54" s="385" t="n">
        <f aca="false">IF(67&lt;5,0,IF(MAX(BN38:BS38)&gt;BS43+5+$B$18,1,0))</f>
        <v>0</v>
      </c>
      <c r="BT54" s="385" t="n">
        <f aca="false">IF(68&lt;5,0,IF(MAX(BO38:BT38)&gt;BT43+5+$B$18,1,0))</f>
        <v>0</v>
      </c>
      <c r="BU54" s="385" t="n">
        <f aca="false">IF(69&lt;5,0,IF(MAX(BP38:BU38)&gt;BU43+5+$B$18,1,0))</f>
        <v>0</v>
      </c>
      <c r="BV54" s="385" t="n">
        <f aca="false">IF(70&lt;5,0,IF(MAX(BQ38:BV38)&gt;BV43+5+$B$18,1,0))</f>
        <v>0</v>
      </c>
      <c r="BW54" s="385" t="n">
        <f aca="false">IF(71&lt;5,0,IF(MAX(BR38:BW38)&gt;BW43+5+$B$18,1,0))</f>
        <v>0</v>
      </c>
      <c r="BX54" s="385" t="n">
        <f aca="false">IF(72&lt;5,0,IF(MAX(BS38:BX38)&gt;BX43+5+$B$18,1,0))</f>
        <v>0</v>
      </c>
      <c r="BY54" s="385" t="n">
        <f aca="false">IF(73&lt;5,0,IF(MAX(BT38:BY38)&gt;BY43+5+$B$18,1,0))</f>
        <v>0</v>
      </c>
      <c r="BZ54" s="385" t="n">
        <f aca="false">IF(74&lt;5,0,IF(MAX(BU38:BZ38)&gt;BZ43+5+$B$18,1,0))</f>
        <v>0</v>
      </c>
      <c r="CA54" s="385" t="n">
        <f aca="false">IF(75&lt;5,0,IF(MAX(BV38:CA38)&gt;CA43+5+$B$18,1,0))</f>
        <v>0</v>
      </c>
      <c r="CB54" s="385" t="n">
        <f aca="false">IF(76&lt;5,0,IF(MAX(BW38:CB38)&gt;CB43+5+$B$18,1,0))</f>
        <v>0</v>
      </c>
      <c r="CC54" s="385" t="n">
        <f aca="false">IF(77&lt;5,0,IF(MAX(BX38:CC38)&gt;CC43+5+$B$18,1,0))</f>
        <v>0</v>
      </c>
      <c r="CD54" s="385" t="n">
        <f aca="false">IF(78&lt;5,0,IF(MAX(BY38:CD38)&gt;CD43+5+$B$18,1,0))</f>
        <v>0</v>
      </c>
      <c r="CE54" s="385" t="n">
        <f aca="false">IF(79&lt;5,0,IF(MAX(BZ38:CE38)&gt;CE43+5+$B$18,1,0))</f>
        <v>0</v>
      </c>
      <c r="CF54" s="385" t="n">
        <f aca="false">IF(80&lt;5,0,IF(MAX(CA38:CF38)&gt;CF43+5+$B$18,1,0))</f>
        <v>0</v>
      </c>
      <c r="CG54" s="385" t="n">
        <f aca="false">IF(81&lt;5,0,IF(MAX(CB38:CG38)&gt;CG43+5+$B$18,1,0))</f>
        <v>0</v>
      </c>
      <c r="CH54" s="385" t="n">
        <f aca="false">IF(82&lt;5,0,IF(MAX(CC38:CH38)&gt;CH43+5+$B$18,1,0))</f>
        <v>0</v>
      </c>
      <c r="CI54" s="385" t="n">
        <f aca="false">IF(83&lt;5,0,IF(MAX(CD38:CI38)&gt;CI43+5+$B$18,1,0))</f>
        <v>0</v>
      </c>
      <c r="CJ54" s="385" t="n">
        <f aca="false">IF(84&lt;5,0,IF(MAX(CE38:CJ38)&gt;CJ43+5+$B$18,1,0))</f>
        <v>0</v>
      </c>
      <c r="CK54" s="385" t="n">
        <f aca="false">IF(85&lt;5,0,IF(MAX(CF38:CK38)&gt;CK43+5+$B$18,1,0))</f>
        <v>0</v>
      </c>
      <c r="CL54" s="385" t="n">
        <f aca="false">IF(86&lt;5,0,IF(MAX(CG38:CL38)&gt;CL43+5+$B$18,1,0))</f>
        <v>0</v>
      </c>
      <c r="CM54" s="385" t="n">
        <f aca="false">IF(87&lt;5,0,IF(MAX(CH38:CM38)&gt;CM43+5+$B$18,1,0))</f>
        <v>0</v>
      </c>
      <c r="CN54" s="385" t="n">
        <f aca="false">IF(88&lt;5,0,IF(MAX(CI38:CN38)&gt;CN43+5+$B$18,1,0))</f>
        <v>0</v>
      </c>
      <c r="CO54" s="385" t="n">
        <f aca="false">IF(89&lt;5,0,IF(MAX(CJ38:CO38)&gt;CO43+5+$B$18,1,0))</f>
        <v>0</v>
      </c>
      <c r="CP54" s="385" t="n">
        <f aca="false">IF(90&lt;5,0,IF(MAX(CK38:CP38)&gt;CP43+5+$B$18,1,0))</f>
        <v>0</v>
      </c>
      <c r="CQ54" s="385" t="n">
        <f aca="false">IF(91&lt;5,0,IF(MAX(CL38:CQ38)&gt;CQ43+5+$B$18,1,0))</f>
        <v>0</v>
      </c>
      <c r="CR54" s="385" t="n">
        <f aca="false">IF(92&lt;5,0,IF(MAX(CM38:CR38)&gt;CR43+5+$B$18,1,0))</f>
        <v>0</v>
      </c>
      <c r="CS54" s="385" t="n">
        <f aca="false">IF(93&lt;5,0,IF(MAX(CN38:CS38)&gt;CS43+5+$B$18,1,0))</f>
        <v>0</v>
      </c>
      <c r="CT54" s="385" t="n">
        <f aca="false">IF(94&lt;5,0,IF(MAX(CO38:CT38)&gt;CT43+5+$B$18,1,0))</f>
        <v>0</v>
      </c>
      <c r="CU54" s="385" t="n">
        <f aca="false">IF(95&lt;5,0,IF(MAX(CP38:CU38)&gt;CU43+5+$B$18,1,0))</f>
        <v>0</v>
      </c>
      <c r="CV54" s="385" t="n">
        <f aca="false">IF(96&lt;5,0,IF(MAX(CQ38:CV38)&gt;CV43+5+$B$18,1,0))</f>
        <v>0</v>
      </c>
      <c r="CW54" s="385" t="n">
        <f aca="false">IF(97&lt;5,0,IF(MAX(CR38:CW38)&gt;CW43+5+$B$18,1,0))</f>
        <v>0</v>
      </c>
      <c r="CX54" s="385" t="n">
        <f aca="false">IF(98&lt;5,0,IF(MAX(CS38:CX38)&gt;CX43+5+$B$18,1,0))</f>
        <v>0</v>
      </c>
      <c r="CY54" s="385" t="n">
        <f aca="false">IF(99&lt;5,0,IF(MAX(CT38:CY38)&gt;CY43+5+$B$18,1,0))</f>
        <v>0</v>
      </c>
      <c r="CZ54" s="385" t="n">
        <f aca="false">IF(100&lt;5,0,IF(MAX(CU38:CZ38)&gt;CZ43+5+$B$18,1,0))</f>
        <v>0</v>
      </c>
      <c r="DA54" s="385" t="n">
        <f aca="false">IF(101&lt;5,0,IF(MAX(CV38:DA38)&gt;DA43+5+$B$18,1,0))</f>
        <v>0</v>
      </c>
      <c r="DB54" s="385" t="n">
        <f aca="false">IF(102&lt;5,0,IF(MAX(CW38:DB38)&gt;DB43+5+$B$18,1,0))</f>
        <v>0</v>
      </c>
      <c r="DC54" s="385" t="n">
        <f aca="false">IF(103&lt;5,0,IF(MAX(CX38:DC38)&gt;DC43+5+$B$18,1,0))</f>
        <v>0</v>
      </c>
      <c r="DD54" s="385" t="n">
        <f aca="false">IF(104&lt;5,0,IF(MAX(CY38:DD38)&gt;DD43+5+$B$18,1,0))</f>
        <v>0</v>
      </c>
      <c r="DE54" s="385" t="n">
        <f aca="false">IF(105&lt;5,0,IF(MAX(CZ38:DE38)&gt;DE43+5+$B$18,1,0))</f>
        <v>0</v>
      </c>
    </row>
    <row r="55" customFormat="false" ht="13.5" hidden="false" customHeight="true" outlineLevel="0" collapsed="false">
      <c r="A55" s="110" t="s">
        <v>1391</v>
      </c>
      <c r="B55" s="213" t="n">
        <f aca="false">$B$27</f>
        <v>125000</v>
      </c>
      <c r="E55" s="385" t="n">
        <f aca="false">IF(1&lt;5,0,IF(MAX(E38)&gt;E43+6+$B$18,1,0))</f>
        <v>0</v>
      </c>
      <c r="F55" s="385" t="n">
        <f aca="false">IF(2&lt;5,0,IF(MAX(E38:F38)&gt;F43+6+$B$18,1,0))</f>
        <v>0</v>
      </c>
      <c r="G55" s="385" t="n">
        <f aca="false">IF(3&lt;5,0,IF(MAX(E38:G38)&gt;G43+6+$B$18,1,0))</f>
        <v>0</v>
      </c>
      <c r="H55" s="385" t="n">
        <f aca="false">IF(4&lt;5,0,IF(MAX(E38:H38)&gt;H43+6+$B$18,1,0))</f>
        <v>0</v>
      </c>
      <c r="I55" s="385" t="n">
        <f aca="false">IF(5&lt;5,0,IF(MAX(E38:I38)&gt;I43+6+$B$18,1,0))</f>
        <v>0</v>
      </c>
      <c r="J55" s="385" t="n">
        <f aca="false">IF(6&lt;5,0,IF(MAX(E38:J38)&gt;J43+6+$B$18,1,0))</f>
        <v>0</v>
      </c>
      <c r="K55" s="385" t="n">
        <f aca="false">IF(7&lt;5,0,IF(MAX(F38:K38)&gt;K43+6+$B$18,1,0))</f>
        <v>0</v>
      </c>
      <c r="L55" s="385" t="n">
        <f aca="false">IF(8&lt;5,0,IF(MAX(G38:L38)&gt;L43+6+$B$18,1,0))</f>
        <v>0</v>
      </c>
      <c r="M55" s="385" t="n">
        <f aca="false">IF(9&lt;5,0,IF(MAX(H38:M38)&gt;M43+6+$B$18,1,0))</f>
        <v>0</v>
      </c>
      <c r="N55" s="385" t="n">
        <f aca="false">IF(10&lt;5,0,IF(MAX(I38:N38)&gt;N43+6+$B$18,1,0))</f>
        <v>0</v>
      </c>
      <c r="O55" s="385" t="n">
        <f aca="false">IF(11&lt;5,0,IF(MAX(J38:O38)&gt;O43+6+$B$18,1,0))</f>
        <v>0</v>
      </c>
      <c r="P55" s="385" t="n">
        <f aca="false">IF(12&lt;5,0,IF(MAX(K38:P38)&gt;P43+6+$B$18,1,0))</f>
        <v>0</v>
      </c>
      <c r="Q55" s="385" t="n">
        <f aca="false">IF(13&lt;5,0,IF(MAX(L38:Q38)&gt;Q43+6+$B$18,1,0))</f>
        <v>0</v>
      </c>
      <c r="R55" s="385" t="n">
        <f aca="false">IF(14&lt;5,0,IF(MAX(M38:R38)&gt;R43+6+$B$18,1,0))</f>
        <v>0</v>
      </c>
      <c r="S55" s="385" t="n">
        <f aca="false">IF(15&lt;5,0,IF(MAX(N38:S38)&gt;S43+6+$B$18,1,0))</f>
        <v>0</v>
      </c>
      <c r="T55" s="385" t="n">
        <f aca="false">IF(16&lt;5,0,IF(MAX(O38:T38)&gt;T43+6+$B$18,1,0))</f>
        <v>0</v>
      </c>
      <c r="U55" s="385" t="n">
        <f aca="false">IF(17&lt;5,0,IF(MAX(P38:U38)&gt;U43+6+$B$18,1,0))</f>
        <v>0</v>
      </c>
      <c r="V55" s="385" t="n">
        <f aca="false">IF(18&lt;5,0,IF(MAX(Q38:V38)&gt;V43+6+$B$18,1,0))</f>
        <v>0</v>
      </c>
      <c r="W55" s="385" t="n">
        <f aca="false">IF(19&lt;5,0,IF(MAX(R38:W38)&gt;W43+6+$B$18,1,0))</f>
        <v>0</v>
      </c>
      <c r="X55" s="385" t="n">
        <f aca="false">IF(20&lt;5,0,IF(MAX(S38:X38)&gt;X43+6+$B$18,1,0))</f>
        <v>0</v>
      </c>
      <c r="Y55" s="385" t="n">
        <f aca="false">IF(21&lt;5,0,IF(MAX(T38:Y38)&gt;Y43+6+$B$18,1,0))</f>
        <v>0</v>
      </c>
      <c r="Z55" s="385" t="n">
        <f aca="false">IF(22&lt;5,0,IF(MAX(U38:Z38)&gt;Z43+6+$B$18,1,0))</f>
        <v>0</v>
      </c>
      <c r="AA55" s="385" t="n">
        <f aca="false">IF(23&lt;5,0,IF(MAX(V38:AA38)&gt;AA43+6+$B$18,1,0))</f>
        <v>0</v>
      </c>
      <c r="AB55" s="385" t="n">
        <f aca="false">IF(24&lt;5,0,IF(MAX(W38:AB38)&gt;AB43+6+$B$18,1,0))</f>
        <v>0</v>
      </c>
      <c r="AC55" s="385" t="n">
        <f aca="false">IF(25&lt;5,0,IF(MAX(X38:AC38)&gt;AC43+6+$B$18,1,0))</f>
        <v>0</v>
      </c>
      <c r="AD55" s="385" t="n">
        <f aca="false">IF(26&lt;5,0,IF(MAX(Y38:AD38)&gt;AD43+6+$B$18,1,0))</f>
        <v>0</v>
      </c>
      <c r="AE55" s="385" t="n">
        <f aca="false">IF(27&lt;5,0,IF(MAX(Z38:AE38)&gt;AE43+6+$B$18,1,0))</f>
        <v>0</v>
      </c>
      <c r="AF55" s="385" t="n">
        <f aca="false">IF(28&lt;5,0,IF(MAX(AA38:AF38)&gt;AF43+6+$B$18,1,0))</f>
        <v>0</v>
      </c>
      <c r="AG55" s="385" t="n">
        <f aca="false">IF(29&lt;5,0,IF(MAX(AB38:AG38)&gt;AG43+6+$B$18,1,0))</f>
        <v>0</v>
      </c>
      <c r="AH55" s="385" t="n">
        <f aca="false">IF(30&lt;5,0,IF(MAX(AC38:AH38)&gt;AH43+6+$B$18,1,0))</f>
        <v>0</v>
      </c>
      <c r="AI55" s="385" t="n">
        <f aca="false">IF(31&lt;5,0,IF(MAX(AD38:AI38)&gt;AI43+6+$B$18,1,0))</f>
        <v>0</v>
      </c>
      <c r="AJ55" s="385" t="n">
        <f aca="false">IF(32&lt;5,0,IF(MAX(AE38:AJ38)&gt;AJ43+6+$B$18,1,0))</f>
        <v>0</v>
      </c>
      <c r="AK55" s="385" t="n">
        <f aca="false">IF(33&lt;5,0,IF(MAX(AF38:AK38)&gt;AK43+6+$B$18,1,0))</f>
        <v>0</v>
      </c>
      <c r="AL55" s="385" t="n">
        <f aca="false">IF(34&lt;5,0,IF(MAX(AG38:AL38)&gt;AL43+6+$B$18,1,0))</f>
        <v>0</v>
      </c>
      <c r="AM55" s="385" t="n">
        <f aca="false">IF(35&lt;5,0,IF(MAX(AH38:AM38)&gt;AM43+6+$B$18,1,0))</f>
        <v>0</v>
      </c>
      <c r="AN55" s="385" t="n">
        <f aca="false">IF(36&lt;5,0,IF(MAX(AI38:AN38)&gt;AN43+6+$B$18,1,0))</f>
        <v>0</v>
      </c>
      <c r="AO55" s="385" t="n">
        <f aca="false">IF(37&lt;5,0,IF(MAX(AJ38:AO38)&gt;AO43+6+$B$18,1,0))</f>
        <v>0</v>
      </c>
      <c r="AP55" s="385" t="n">
        <f aca="false">IF(38&lt;5,0,IF(MAX(AK38:AP38)&gt;AP43+6+$B$18,1,0))</f>
        <v>0</v>
      </c>
      <c r="AQ55" s="385" t="n">
        <f aca="false">IF(39&lt;5,0,IF(MAX(AL38:AQ38)&gt;AQ43+6+$B$18,1,0))</f>
        <v>0</v>
      </c>
      <c r="AR55" s="385" t="n">
        <f aca="false">IF(40&lt;5,0,IF(MAX(AM38:AR38)&gt;AR43+6+$B$18,1,0))</f>
        <v>0</v>
      </c>
      <c r="AS55" s="385" t="n">
        <f aca="false">IF(41&lt;5,0,IF(MAX(AN38:AS38)&gt;AS43+6+$B$18,1,0))</f>
        <v>0</v>
      </c>
      <c r="AT55" s="385" t="n">
        <f aca="false">IF(42&lt;5,0,IF(MAX(AO38:AT38)&gt;AT43+6+$B$18,1,0))</f>
        <v>0</v>
      </c>
      <c r="AU55" s="385" t="n">
        <f aca="false">IF(43&lt;5,0,IF(MAX(AP38:AU38)&gt;AU43+6+$B$18,1,0))</f>
        <v>0</v>
      </c>
      <c r="AV55" s="385" t="n">
        <f aca="false">IF(44&lt;5,0,IF(MAX(AQ38:AV38)&gt;AV43+6+$B$18,1,0))</f>
        <v>0</v>
      </c>
      <c r="AW55" s="385" t="n">
        <f aca="false">IF(45&lt;5,0,IF(MAX(AR38:AW38)&gt;AW43+6+$B$18,1,0))</f>
        <v>0</v>
      </c>
      <c r="AX55" s="385" t="n">
        <f aca="false">IF(46&lt;5,0,IF(MAX(AS38:AX38)&gt;AX43+6+$B$18,1,0))</f>
        <v>0</v>
      </c>
      <c r="AY55" s="385" t="n">
        <f aca="false">IF(47&lt;5,0,IF(MAX(AT38:AY38)&gt;AY43+6+$B$18,1,0))</f>
        <v>0</v>
      </c>
      <c r="AZ55" s="385" t="n">
        <f aca="false">IF(48&lt;5,0,IF(MAX(AU38:AZ38)&gt;AZ43+6+$B$18,1,0))</f>
        <v>0</v>
      </c>
      <c r="BA55" s="385" t="n">
        <f aca="false">IF(49&lt;5,0,IF(MAX(AV38:BA38)&gt;BA43+6+$B$18,1,0))</f>
        <v>0</v>
      </c>
      <c r="BB55" s="385" t="n">
        <f aca="false">IF(50&lt;5,0,IF(MAX(AW38:BB38)&gt;BB43+6+$B$18,1,0))</f>
        <v>0</v>
      </c>
      <c r="BC55" s="385" t="n">
        <f aca="false">IF(51&lt;5,0,IF(MAX(AX38:BC38)&gt;BC43+6+$B$18,1,0))</f>
        <v>0</v>
      </c>
      <c r="BD55" s="385" t="n">
        <f aca="false">IF(52&lt;5,0,IF(MAX(AY38:BD38)&gt;BD43+6+$B$18,1,0))</f>
        <v>0</v>
      </c>
      <c r="BE55" s="385" t="n">
        <f aca="false">IF(53&lt;5,0,IF(MAX(AZ38:BE38)&gt;BE43+6+$B$18,1,0))</f>
        <v>0</v>
      </c>
      <c r="BF55" s="385" t="n">
        <f aca="false">IF(54&lt;5,0,IF(MAX(BA38:BF38)&gt;BF43+6+$B$18,1,0))</f>
        <v>0</v>
      </c>
      <c r="BG55" s="385" t="n">
        <f aca="false">IF(55&lt;5,0,IF(MAX(BB38:BG38)&gt;BG43+6+$B$18,1,0))</f>
        <v>0</v>
      </c>
      <c r="BH55" s="385" t="n">
        <f aca="false">IF(56&lt;5,0,IF(MAX(BC38:BH38)&gt;BH43+6+$B$18,1,0))</f>
        <v>0</v>
      </c>
      <c r="BI55" s="385" t="n">
        <f aca="false">IF(57&lt;5,0,IF(MAX(BD38:BI38)&gt;BI43+6+$B$18,1,0))</f>
        <v>0</v>
      </c>
      <c r="BJ55" s="385" t="n">
        <f aca="false">IF(58&lt;5,0,IF(MAX(BE38:BJ38)&gt;BJ43+6+$B$18,1,0))</f>
        <v>0</v>
      </c>
      <c r="BK55" s="385" t="n">
        <f aca="false">IF(59&lt;5,0,IF(MAX(BF38:BK38)&gt;BK43+6+$B$18,1,0))</f>
        <v>0</v>
      </c>
      <c r="BL55" s="385" t="n">
        <f aca="false">IF(60&lt;5,0,IF(MAX(BG38:BL38)&gt;BL43+6+$B$18,1,0))</f>
        <v>0</v>
      </c>
      <c r="BM55" s="385" t="n">
        <f aca="false">IF(61&lt;5,0,IF(MAX(BH38:BM38)&gt;BM43+6+$B$18,1,0))</f>
        <v>0</v>
      </c>
      <c r="BN55" s="385" t="n">
        <f aca="false">IF(62&lt;5,0,IF(MAX(BI38:BN38)&gt;BN43+6+$B$18,1,0))</f>
        <v>0</v>
      </c>
      <c r="BO55" s="385" t="n">
        <f aca="false">IF(63&lt;5,0,IF(MAX(BJ38:BO38)&gt;BO43+6+$B$18,1,0))</f>
        <v>0</v>
      </c>
      <c r="BP55" s="385" t="n">
        <f aca="false">IF(64&lt;5,0,IF(MAX(BK38:BP38)&gt;BP43+6+$B$18,1,0))</f>
        <v>0</v>
      </c>
      <c r="BQ55" s="385" t="n">
        <f aca="false">IF(65&lt;5,0,IF(MAX(BL38:BQ38)&gt;BQ43+6+$B$18,1,0))</f>
        <v>0</v>
      </c>
      <c r="BR55" s="385" t="n">
        <f aca="false">IF(66&lt;5,0,IF(MAX(BM38:BR38)&gt;BR43+6+$B$18,1,0))</f>
        <v>0</v>
      </c>
      <c r="BS55" s="385" t="n">
        <f aca="false">IF(67&lt;5,0,IF(MAX(BN38:BS38)&gt;BS43+6+$B$18,1,0))</f>
        <v>0</v>
      </c>
      <c r="BT55" s="385" t="n">
        <f aca="false">IF(68&lt;5,0,IF(MAX(BO38:BT38)&gt;BT43+6+$B$18,1,0))</f>
        <v>0</v>
      </c>
      <c r="BU55" s="385" t="n">
        <f aca="false">IF(69&lt;5,0,IF(MAX(BP38:BU38)&gt;BU43+6+$B$18,1,0))</f>
        <v>0</v>
      </c>
      <c r="BV55" s="385" t="n">
        <f aca="false">IF(70&lt;5,0,IF(MAX(BQ38:BV38)&gt;BV43+6+$B$18,1,0))</f>
        <v>0</v>
      </c>
      <c r="BW55" s="385" t="n">
        <f aca="false">IF(71&lt;5,0,IF(MAX(BR38:BW38)&gt;BW43+6+$B$18,1,0))</f>
        <v>0</v>
      </c>
      <c r="BX55" s="385" t="n">
        <f aca="false">IF(72&lt;5,0,IF(MAX(BS38:BX38)&gt;BX43+6+$B$18,1,0))</f>
        <v>0</v>
      </c>
      <c r="BY55" s="385" t="n">
        <f aca="false">IF(73&lt;5,0,IF(MAX(BT38:BY38)&gt;BY43+6+$B$18,1,0))</f>
        <v>0</v>
      </c>
      <c r="BZ55" s="385" t="n">
        <f aca="false">IF(74&lt;5,0,IF(MAX(BU38:BZ38)&gt;BZ43+6+$B$18,1,0))</f>
        <v>0</v>
      </c>
      <c r="CA55" s="385" t="n">
        <f aca="false">IF(75&lt;5,0,IF(MAX(BV38:CA38)&gt;CA43+6+$B$18,1,0))</f>
        <v>0</v>
      </c>
      <c r="CB55" s="385" t="n">
        <f aca="false">IF(76&lt;5,0,IF(MAX(BW38:CB38)&gt;CB43+6+$B$18,1,0))</f>
        <v>0</v>
      </c>
      <c r="CC55" s="385" t="n">
        <f aca="false">IF(77&lt;5,0,IF(MAX(BX38:CC38)&gt;CC43+6+$B$18,1,0))</f>
        <v>0</v>
      </c>
      <c r="CD55" s="385" t="n">
        <f aca="false">IF(78&lt;5,0,IF(MAX(BY38:CD38)&gt;CD43+6+$B$18,1,0))</f>
        <v>0</v>
      </c>
      <c r="CE55" s="385" t="n">
        <f aca="false">IF(79&lt;5,0,IF(MAX(BZ38:CE38)&gt;CE43+6+$B$18,1,0))</f>
        <v>0</v>
      </c>
      <c r="CF55" s="385" t="n">
        <f aca="false">IF(80&lt;5,0,IF(MAX(CA38:CF38)&gt;CF43+6+$B$18,1,0))</f>
        <v>0</v>
      </c>
      <c r="CG55" s="385" t="n">
        <f aca="false">IF(81&lt;5,0,IF(MAX(CB38:CG38)&gt;CG43+6+$B$18,1,0))</f>
        <v>0</v>
      </c>
      <c r="CH55" s="385" t="n">
        <f aca="false">IF(82&lt;5,0,IF(MAX(CC38:CH38)&gt;CH43+6+$B$18,1,0))</f>
        <v>0</v>
      </c>
      <c r="CI55" s="385" t="n">
        <f aca="false">IF(83&lt;5,0,IF(MAX(CD38:CI38)&gt;CI43+6+$B$18,1,0))</f>
        <v>0</v>
      </c>
      <c r="CJ55" s="385" t="n">
        <f aca="false">IF(84&lt;5,0,IF(MAX(CE38:CJ38)&gt;CJ43+6+$B$18,1,0))</f>
        <v>0</v>
      </c>
      <c r="CK55" s="385" t="n">
        <f aca="false">IF(85&lt;5,0,IF(MAX(CF38:CK38)&gt;CK43+6+$B$18,1,0))</f>
        <v>0</v>
      </c>
      <c r="CL55" s="385" t="n">
        <f aca="false">IF(86&lt;5,0,IF(MAX(CG38:CL38)&gt;CL43+6+$B$18,1,0))</f>
        <v>0</v>
      </c>
      <c r="CM55" s="385" t="n">
        <f aca="false">IF(87&lt;5,0,IF(MAX(CH38:CM38)&gt;CM43+6+$B$18,1,0))</f>
        <v>0</v>
      </c>
      <c r="CN55" s="385" t="n">
        <f aca="false">IF(88&lt;5,0,IF(MAX(CI38:CN38)&gt;CN43+6+$B$18,1,0))</f>
        <v>0</v>
      </c>
      <c r="CO55" s="385" t="n">
        <f aca="false">IF(89&lt;5,0,IF(MAX(CJ38:CO38)&gt;CO43+6+$B$18,1,0))</f>
        <v>0</v>
      </c>
      <c r="CP55" s="385" t="n">
        <f aca="false">IF(90&lt;5,0,IF(MAX(CK38:CP38)&gt;CP43+6+$B$18,1,0))</f>
        <v>0</v>
      </c>
      <c r="CQ55" s="385" t="n">
        <f aca="false">IF(91&lt;5,0,IF(MAX(CL38:CQ38)&gt;CQ43+6+$B$18,1,0))</f>
        <v>0</v>
      </c>
      <c r="CR55" s="385" t="n">
        <f aca="false">IF(92&lt;5,0,IF(MAX(CM38:CR38)&gt;CR43+6+$B$18,1,0))</f>
        <v>0</v>
      </c>
      <c r="CS55" s="385" t="n">
        <f aca="false">IF(93&lt;5,0,IF(MAX(CN38:CS38)&gt;CS43+6+$B$18,1,0))</f>
        <v>0</v>
      </c>
      <c r="CT55" s="385" t="n">
        <f aca="false">IF(94&lt;5,0,IF(MAX(CO38:CT38)&gt;CT43+6+$B$18,1,0))</f>
        <v>0</v>
      </c>
      <c r="CU55" s="385" t="n">
        <f aca="false">IF(95&lt;5,0,IF(MAX(CP38:CU38)&gt;CU43+6+$B$18,1,0))</f>
        <v>0</v>
      </c>
      <c r="CV55" s="385" t="n">
        <f aca="false">IF(96&lt;5,0,IF(MAX(CQ38:CV38)&gt;CV43+6+$B$18,1,0))</f>
        <v>0</v>
      </c>
      <c r="CW55" s="385" t="n">
        <f aca="false">IF(97&lt;5,0,IF(MAX(CR38:CW38)&gt;CW43+6+$B$18,1,0))</f>
        <v>0</v>
      </c>
      <c r="CX55" s="385" t="n">
        <f aca="false">IF(98&lt;5,0,IF(MAX(CS38:CX38)&gt;CX43+6+$B$18,1,0))</f>
        <v>0</v>
      </c>
      <c r="CY55" s="385" t="n">
        <f aca="false">IF(99&lt;5,0,IF(MAX(CT38:CY38)&gt;CY43+6+$B$18,1,0))</f>
        <v>0</v>
      </c>
      <c r="CZ55" s="385" t="n">
        <f aca="false">IF(100&lt;5,0,IF(MAX(CU38:CZ38)&gt;CZ43+6+$B$18,1,0))</f>
        <v>0</v>
      </c>
      <c r="DA55" s="385" t="n">
        <f aca="false">IF(101&lt;5,0,IF(MAX(CV38:DA38)&gt;DA43+6+$B$18,1,0))</f>
        <v>0</v>
      </c>
      <c r="DB55" s="385" t="n">
        <f aca="false">IF(102&lt;5,0,IF(MAX(CW38:DB38)&gt;DB43+6+$B$18,1,0))</f>
        <v>0</v>
      </c>
      <c r="DC55" s="385" t="n">
        <f aca="false">IF(103&lt;5,0,IF(MAX(CX38:DC38)&gt;DC43+6+$B$18,1,0))</f>
        <v>0</v>
      </c>
      <c r="DD55" s="385" t="n">
        <f aca="false">IF(104&lt;5,0,IF(MAX(CY38:DD38)&gt;DD43+6+$B$18,1,0))</f>
        <v>0</v>
      </c>
      <c r="DE55" s="385" t="n">
        <f aca="false">IF(105&lt;5,0,IF(MAX(CZ38:DE38)&gt;DE43+6+$B$18,1,0))</f>
        <v>0</v>
      </c>
    </row>
    <row r="56" customFormat="false" ht="13.5" hidden="false" customHeight="true" outlineLevel="0" collapsed="false">
      <c r="A56" s="110" t="s">
        <v>1392</v>
      </c>
      <c r="B56" s="213" t="n">
        <f aca="false">$B$27</f>
        <v>125000</v>
      </c>
      <c r="E56" s="385" t="n">
        <f aca="false">IF(1&lt;5,0,IF(MAX(E38)&gt;E43+7+$B$18,1,0))</f>
        <v>0</v>
      </c>
      <c r="F56" s="385" t="n">
        <f aca="false">IF(2&lt;5,0,IF(MAX(E38:F38)&gt;F43+7+$B$18,1,0))</f>
        <v>0</v>
      </c>
      <c r="G56" s="385" t="n">
        <f aca="false">IF(3&lt;5,0,IF(MAX(E38:G38)&gt;G43+7+$B$18,1,0))</f>
        <v>0</v>
      </c>
      <c r="H56" s="385" t="n">
        <f aca="false">IF(4&lt;5,0,IF(MAX(E38:H38)&gt;H43+7+$B$18,1,0))</f>
        <v>0</v>
      </c>
      <c r="I56" s="385" t="n">
        <f aca="false">IF(5&lt;5,0,IF(MAX(E38:I38)&gt;I43+7+$B$18,1,0))</f>
        <v>0</v>
      </c>
      <c r="J56" s="385" t="n">
        <f aca="false">IF(6&lt;5,0,IF(MAX(E38:J38)&gt;J43+7+$B$18,1,0))</f>
        <v>0</v>
      </c>
      <c r="K56" s="385" t="n">
        <f aca="false">IF(7&lt;5,0,IF(MAX(F38:K38)&gt;K43+7+$B$18,1,0))</f>
        <v>0</v>
      </c>
      <c r="L56" s="385" t="n">
        <f aca="false">IF(8&lt;5,0,IF(MAX(G38:L38)&gt;L43+7+$B$18,1,0))</f>
        <v>0</v>
      </c>
      <c r="M56" s="385" t="n">
        <f aca="false">IF(9&lt;5,0,IF(MAX(H38:M38)&gt;M43+7+$B$18,1,0))</f>
        <v>0</v>
      </c>
      <c r="N56" s="385" t="n">
        <f aca="false">IF(10&lt;5,0,IF(MAX(I38:N38)&gt;N43+7+$B$18,1,0))</f>
        <v>0</v>
      </c>
      <c r="O56" s="385" t="n">
        <f aca="false">IF(11&lt;5,0,IF(MAX(J38:O38)&gt;O43+7+$B$18,1,0))</f>
        <v>0</v>
      </c>
      <c r="P56" s="385" t="n">
        <f aca="false">IF(12&lt;5,0,IF(MAX(K38:P38)&gt;P43+7+$B$18,1,0))</f>
        <v>0</v>
      </c>
      <c r="Q56" s="385" t="n">
        <f aca="false">IF(13&lt;5,0,IF(MAX(L38:Q38)&gt;Q43+7+$B$18,1,0))</f>
        <v>0</v>
      </c>
      <c r="R56" s="385" t="n">
        <f aca="false">IF(14&lt;5,0,IF(MAX(M38:R38)&gt;R43+7+$B$18,1,0))</f>
        <v>0</v>
      </c>
      <c r="S56" s="385" t="n">
        <f aca="false">IF(15&lt;5,0,IF(MAX(N38:S38)&gt;S43+7+$B$18,1,0))</f>
        <v>0</v>
      </c>
      <c r="T56" s="385" t="n">
        <f aca="false">IF(16&lt;5,0,IF(MAX(O38:T38)&gt;T43+7+$B$18,1,0))</f>
        <v>0</v>
      </c>
      <c r="U56" s="385" t="n">
        <f aca="false">IF(17&lt;5,0,IF(MAX(P38:U38)&gt;U43+7+$B$18,1,0))</f>
        <v>0</v>
      </c>
      <c r="V56" s="385" t="n">
        <f aca="false">IF(18&lt;5,0,IF(MAX(Q38:V38)&gt;V43+7+$B$18,1,0))</f>
        <v>0</v>
      </c>
      <c r="W56" s="385" t="n">
        <f aca="false">IF(19&lt;5,0,IF(MAX(R38:W38)&gt;W43+7+$B$18,1,0))</f>
        <v>0</v>
      </c>
      <c r="X56" s="385" t="n">
        <f aca="false">IF(20&lt;5,0,IF(MAX(S38:X38)&gt;X43+7+$B$18,1,0))</f>
        <v>0</v>
      </c>
      <c r="Y56" s="385" t="n">
        <f aca="false">IF(21&lt;5,0,IF(MAX(T38:Y38)&gt;Y43+7+$B$18,1,0))</f>
        <v>0</v>
      </c>
      <c r="Z56" s="385" t="n">
        <f aca="false">IF(22&lt;5,0,IF(MAX(U38:Z38)&gt;Z43+7+$B$18,1,0))</f>
        <v>0</v>
      </c>
      <c r="AA56" s="385" t="n">
        <f aca="false">IF(23&lt;5,0,IF(MAX(V38:AA38)&gt;AA43+7+$B$18,1,0))</f>
        <v>0</v>
      </c>
      <c r="AB56" s="385" t="n">
        <f aca="false">IF(24&lt;5,0,IF(MAX(W38:AB38)&gt;AB43+7+$B$18,1,0))</f>
        <v>0</v>
      </c>
      <c r="AC56" s="385" t="n">
        <f aca="false">IF(25&lt;5,0,IF(MAX(X38:AC38)&gt;AC43+7+$B$18,1,0))</f>
        <v>0</v>
      </c>
      <c r="AD56" s="385" t="n">
        <f aca="false">IF(26&lt;5,0,IF(MAX(Y38:AD38)&gt;AD43+7+$B$18,1,0))</f>
        <v>0</v>
      </c>
      <c r="AE56" s="385" t="n">
        <f aca="false">IF(27&lt;5,0,IF(MAX(Z38:AE38)&gt;AE43+7+$B$18,1,0))</f>
        <v>0</v>
      </c>
      <c r="AF56" s="385" t="n">
        <f aca="false">IF(28&lt;5,0,IF(MAX(AA38:AF38)&gt;AF43+7+$B$18,1,0))</f>
        <v>0</v>
      </c>
      <c r="AG56" s="385" t="n">
        <f aca="false">IF(29&lt;5,0,IF(MAX(AB38:AG38)&gt;AG43+7+$B$18,1,0))</f>
        <v>0</v>
      </c>
      <c r="AH56" s="385" t="n">
        <f aca="false">IF(30&lt;5,0,IF(MAX(AC38:AH38)&gt;AH43+7+$B$18,1,0))</f>
        <v>0</v>
      </c>
      <c r="AI56" s="385" t="n">
        <f aca="false">IF(31&lt;5,0,IF(MAX(AD38:AI38)&gt;AI43+7+$B$18,1,0))</f>
        <v>0</v>
      </c>
      <c r="AJ56" s="385" t="n">
        <f aca="false">IF(32&lt;5,0,IF(MAX(AE38:AJ38)&gt;AJ43+7+$B$18,1,0))</f>
        <v>0</v>
      </c>
      <c r="AK56" s="385" t="n">
        <f aca="false">IF(33&lt;5,0,IF(MAX(AF38:AK38)&gt;AK43+7+$B$18,1,0))</f>
        <v>0</v>
      </c>
      <c r="AL56" s="385" t="n">
        <f aca="false">IF(34&lt;5,0,IF(MAX(AG38:AL38)&gt;AL43+7+$B$18,1,0))</f>
        <v>0</v>
      </c>
      <c r="AM56" s="385" t="n">
        <f aca="false">IF(35&lt;5,0,IF(MAX(AH38:AM38)&gt;AM43+7+$B$18,1,0))</f>
        <v>0</v>
      </c>
      <c r="AN56" s="385" t="n">
        <f aca="false">IF(36&lt;5,0,IF(MAX(AI38:AN38)&gt;AN43+7+$B$18,1,0))</f>
        <v>0</v>
      </c>
      <c r="AO56" s="385" t="n">
        <f aca="false">IF(37&lt;5,0,IF(MAX(AJ38:AO38)&gt;AO43+7+$B$18,1,0))</f>
        <v>0</v>
      </c>
      <c r="AP56" s="385" t="n">
        <f aca="false">IF(38&lt;5,0,IF(MAX(AK38:AP38)&gt;AP43+7+$B$18,1,0))</f>
        <v>0</v>
      </c>
      <c r="AQ56" s="385" t="n">
        <f aca="false">IF(39&lt;5,0,IF(MAX(AL38:AQ38)&gt;AQ43+7+$B$18,1,0))</f>
        <v>0</v>
      </c>
      <c r="AR56" s="385" t="n">
        <f aca="false">IF(40&lt;5,0,IF(MAX(AM38:AR38)&gt;AR43+7+$B$18,1,0))</f>
        <v>0</v>
      </c>
      <c r="AS56" s="385" t="n">
        <f aca="false">IF(41&lt;5,0,IF(MAX(AN38:AS38)&gt;AS43+7+$B$18,1,0))</f>
        <v>0</v>
      </c>
      <c r="AT56" s="385" t="n">
        <f aca="false">IF(42&lt;5,0,IF(MAX(AO38:AT38)&gt;AT43+7+$B$18,1,0))</f>
        <v>0</v>
      </c>
      <c r="AU56" s="385" t="n">
        <f aca="false">IF(43&lt;5,0,IF(MAX(AP38:AU38)&gt;AU43+7+$B$18,1,0))</f>
        <v>0</v>
      </c>
      <c r="AV56" s="385" t="n">
        <f aca="false">IF(44&lt;5,0,IF(MAX(AQ38:AV38)&gt;AV43+7+$B$18,1,0))</f>
        <v>0</v>
      </c>
      <c r="AW56" s="385" t="n">
        <f aca="false">IF(45&lt;5,0,IF(MAX(AR38:AW38)&gt;AW43+7+$B$18,1,0))</f>
        <v>0</v>
      </c>
      <c r="AX56" s="385" t="n">
        <f aca="false">IF(46&lt;5,0,IF(MAX(AS38:AX38)&gt;AX43+7+$B$18,1,0))</f>
        <v>0</v>
      </c>
      <c r="AY56" s="385" t="n">
        <f aca="false">IF(47&lt;5,0,IF(MAX(AT38:AY38)&gt;AY43+7+$B$18,1,0))</f>
        <v>0</v>
      </c>
      <c r="AZ56" s="385" t="n">
        <f aca="false">IF(48&lt;5,0,IF(MAX(AU38:AZ38)&gt;AZ43+7+$B$18,1,0))</f>
        <v>0</v>
      </c>
      <c r="BA56" s="385" t="n">
        <f aca="false">IF(49&lt;5,0,IF(MAX(AV38:BA38)&gt;BA43+7+$B$18,1,0))</f>
        <v>0</v>
      </c>
      <c r="BB56" s="385" t="n">
        <f aca="false">IF(50&lt;5,0,IF(MAX(AW38:BB38)&gt;BB43+7+$B$18,1,0))</f>
        <v>0</v>
      </c>
      <c r="BC56" s="385" t="n">
        <f aca="false">IF(51&lt;5,0,IF(MAX(AX38:BC38)&gt;BC43+7+$B$18,1,0))</f>
        <v>0</v>
      </c>
      <c r="BD56" s="385" t="n">
        <f aca="false">IF(52&lt;5,0,IF(MAX(AY38:BD38)&gt;BD43+7+$B$18,1,0))</f>
        <v>0</v>
      </c>
      <c r="BE56" s="385" t="n">
        <f aca="false">IF(53&lt;5,0,IF(MAX(AZ38:BE38)&gt;BE43+7+$B$18,1,0))</f>
        <v>0</v>
      </c>
      <c r="BF56" s="385" t="n">
        <f aca="false">IF(54&lt;5,0,IF(MAX(BA38:BF38)&gt;BF43+7+$B$18,1,0))</f>
        <v>0</v>
      </c>
      <c r="BG56" s="385" t="n">
        <f aca="false">IF(55&lt;5,0,IF(MAX(BB38:BG38)&gt;BG43+7+$B$18,1,0))</f>
        <v>0</v>
      </c>
      <c r="BH56" s="385" t="n">
        <f aca="false">IF(56&lt;5,0,IF(MAX(BC38:BH38)&gt;BH43+7+$B$18,1,0))</f>
        <v>0</v>
      </c>
      <c r="BI56" s="385" t="n">
        <f aca="false">IF(57&lt;5,0,IF(MAX(BD38:BI38)&gt;BI43+7+$B$18,1,0))</f>
        <v>0</v>
      </c>
      <c r="BJ56" s="385" t="n">
        <f aca="false">IF(58&lt;5,0,IF(MAX(BE38:BJ38)&gt;BJ43+7+$B$18,1,0))</f>
        <v>0</v>
      </c>
      <c r="BK56" s="385" t="n">
        <f aca="false">IF(59&lt;5,0,IF(MAX(BF38:BK38)&gt;BK43+7+$B$18,1,0))</f>
        <v>0</v>
      </c>
      <c r="BL56" s="385" t="n">
        <f aca="false">IF(60&lt;5,0,IF(MAX(BG38:BL38)&gt;BL43+7+$B$18,1,0))</f>
        <v>0</v>
      </c>
      <c r="BM56" s="385" t="n">
        <f aca="false">IF(61&lt;5,0,IF(MAX(BH38:BM38)&gt;BM43+7+$B$18,1,0))</f>
        <v>0</v>
      </c>
      <c r="BN56" s="385" t="n">
        <f aca="false">IF(62&lt;5,0,IF(MAX(BI38:BN38)&gt;BN43+7+$B$18,1,0))</f>
        <v>0</v>
      </c>
      <c r="BO56" s="385" t="n">
        <f aca="false">IF(63&lt;5,0,IF(MAX(BJ38:BO38)&gt;BO43+7+$B$18,1,0))</f>
        <v>0</v>
      </c>
      <c r="BP56" s="385" t="n">
        <f aca="false">IF(64&lt;5,0,IF(MAX(BK38:BP38)&gt;BP43+7+$B$18,1,0))</f>
        <v>0</v>
      </c>
      <c r="BQ56" s="385" t="n">
        <f aca="false">IF(65&lt;5,0,IF(MAX(BL38:BQ38)&gt;BQ43+7+$B$18,1,0))</f>
        <v>0</v>
      </c>
      <c r="BR56" s="385" t="n">
        <f aca="false">IF(66&lt;5,0,IF(MAX(BM38:BR38)&gt;BR43+7+$B$18,1,0))</f>
        <v>0</v>
      </c>
      <c r="BS56" s="385" t="n">
        <f aca="false">IF(67&lt;5,0,IF(MAX(BN38:BS38)&gt;BS43+7+$B$18,1,0))</f>
        <v>0</v>
      </c>
      <c r="BT56" s="385" t="n">
        <f aca="false">IF(68&lt;5,0,IF(MAX(BO38:BT38)&gt;BT43+7+$B$18,1,0))</f>
        <v>0</v>
      </c>
      <c r="BU56" s="385" t="n">
        <f aca="false">IF(69&lt;5,0,IF(MAX(BP38:BU38)&gt;BU43+7+$B$18,1,0))</f>
        <v>0</v>
      </c>
      <c r="BV56" s="385" t="n">
        <f aca="false">IF(70&lt;5,0,IF(MAX(BQ38:BV38)&gt;BV43+7+$B$18,1,0))</f>
        <v>0</v>
      </c>
      <c r="BW56" s="385" t="n">
        <f aca="false">IF(71&lt;5,0,IF(MAX(BR38:BW38)&gt;BW43+7+$B$18,1,0))</f>
        <v>0</v>
      </c>
      <c r="BX56" s="385" t="n">
        <f aca="false">IF(72&lt;5,0,IF(MAX(BS38:BX38)&gt;BX43+7+$B$18,1,0))</f>
        <v>0</v>
      </c>
      <c r="BY56" s="385" t="n">
        <f aca="false">IF(73&lt;5,0,IF(MAX(BT38:BY38)&gt;BY43+7+$B$18,1,0))</f>
        <v>0</v>
      </c>
      <c r="BZ56" s="385" t="n">
        <f aca="false">IF(74&lt;5,0,IF(MAX(BU38:BZ38)&gt;BZ43+7+$B$18,1,0))</f>
        <v>0</v>
      </c>
      <c r="CA56" s="385" t="n">
        <f aca="false">IF(75&lt;5,0,IF(MAX(BV38:CA38)&gt;CA43+7+$B$18,1,0))</f>
        <v>0</v>
      </c>
      <c r="CB56" s="385" t="n">
        <f aca="false">IF(76&lt;5,0,IF(MAX(BW38:CB38)&gt;CB43+7+$B$18,1,0))</f>
        <v>0</v>
      </c>
      <c r="CC56" s="385" t="n">
        <f aca="false">IF(77&lt;5,0,IF(MAX(BX38:CC38)&gt;CC43+7+$B$18,1,0))</f>
        <v>0</v>
      </c>
      <c r="CD56" s="385" t="n">
        <f aca="false">IF(78&lt;5,0,IF(MAX(BY38:CD38)&gt;CD43+7+$B$18,1,0))</f>
        <v>0</v>
      </c>
      <c r="CE56" s="385" t="n">
        <f aca="false">IF(79&lt;5,0,IF(MAX(BZ38:CE38)&gt;CE43+7+$B$18,1,0))</f>
        <v>0</v>
      </c>
      <c r="CF56" s="385" t="n">
        <f aca="false">IF(80&lt;5,0,IF(MAX(CA38:CF38)&gt;CF43+7+$B$18,1,0))</f>
        <v>0</v>
      </c>
      <c r="CG56" s="385" t="n">
        <f aca="false">IF(81&lt;5,0,IF(MAX(CB38:CG38)&gt;CG43+7+$B$18,1,0))</f>
        <v>0</v>
      </c>
      <c r="CH56" s="385" t="n">
        <f aca="false">IF(82&lt;5,0,IF(MAX(CC38:CH38)&gt;CH43+7+$B$18,1,0))</f>
        <v>0</v>
      </c>
      <c r="CI56" s="385" t="n">
        <f aca="false">IF(83&lt;5,0,IF(MAX(CD38:CI38)&gt;CI43+7+$B$18,1,0))</f>
        <v>0</v>
      </c>
      <c r="CJ56" s="385" t="n">
        <f aca="false">IF(84&lt;5,0,IF(MAX(CE38:CJ38)&gt;CJ43+7+$B$18,1,0))</f>
        <v>0</v>
      </c>
      <c r="CK56" s="385" t="n">
        <f aca="false">IF(85&lt;5,0,IF(MAX(CF38:CK38)&gt;CK43+7+$B$18,1,0))</f>
        <v>0</v>
      </c>
      <c r="CL56" s="385" t="n">
        <f aca="false">IF(86&lt;5,0,IF(MAX(CG38:CL38)&gt;CL43+7+$B$18,1,0))</f>
        <v>0</v>
      </c>
      <c r="CM56" s="385" t="n">
        <f aca="false">IF(87&lt;5,0,IF(MAX(CH38:CM38)&gt;CM43+7+$B$18,1,0))</f>
        <v>0</v>
      </c>
      <c r="CN56" s="385" t="n">
        <f aca="false">IF(88&lt;5,0,IF(MAX(CI38:CN38)&gt;CN43+7+$B$18,1,0))</f>
        <v>0</v>
      </c>
      <c r="CO56" s="385" t="n">
        <f aca="false">IF(89&lt;5,0,IF(MAX(CJ38:CO38)&gt;CO43+7+$B$18,1,0))</f>
        <v>0</v>
      </c>
      <c r="CP56" s="385" t="n">
        <f aca="false">IF(90&lt;5,0,IF(MAX(CK38:CP38)&gt;CP43+7+$B$18,1,0))</f>
        <v>0</v>
      </c>
      <c r="CQ56" s="385" t="n">
        <f aca="false">IF(91&lt;5,0,IF(MAX(CL38:CQ38)&gt;CQ43+7+$B$18,1,0))</f>
        <v>0</v>
      </c>
      <c r="CR56" s="385" t="n">
        <f aca="false">IF(92&lt;5,0,IF(MAX(CM38:CR38)&gt;CR43+7+$B$18,1,0))</f>
        <v>0</v>
      </c>
      <c r="CS56" s="385" t="n">
        <f aca="false">IF(93&lt;5,0,IF(MAX(CN38:CS38)&gt;CS43+7+$B$18,1,0))</f>
        <v>0</v>
      </c>
      <c r="CT56" s="385" t="n">
        <f aca="false">IF(94&lt;5,0,IF(MAX(CO38:CT38)&gt;CT43+7+$B$18,1,0))</f>
        <v>0</v>
      </c>
      <c r="CU56" s="385" t="n">
        <f aca="false">IF(95&lt;5,0,IF(MAX(CP38:CU38)&gt;CU43+7+$B$18,1,0))</f>
        <v>0</v>
      </c>
      <c r="CV56" s="385" t="n">
        <f aca="false">IF(96&lt;5,0,IF(MAX(CQ38:CV38)&gt;CV43+7+$B$18,1,0))</f>
        <v>0</v>
      </c>
      <c r="CW56" s="385" t="n">
        <f aca="false">IF(97&lt;5,0,IF(MAX(CR38:CW38)&gt;CW43+7+$B$18,1,0))</f>
        <v>0</v>
      </c>
      <c r="CX56" s="385" t="n">
        <f aca="false">IF(98&lt;5,0,IF(MAX(CS38:CX38)&gt;CX43+7+$B$18,1,0))</f>
        <v>0</v>
      </c>
      <c r="CY56" s="385" t="n">
        <f aca="false">IF(99&lt;5,0,IF(MAX(CT38:CY38)&gt;CY43+7+$B$18,1,0))</f>
        <v>0</v>
      </c>
      <c r="CZ56" s="385" t="n">
        <f aca="false">IF(100&lt;5,0,IF(MAX(CU38:CZ38)&gt;CZ43+7+$B$18,1,0))</f>
        <v>0</v>
      </c>
      <c r="DA56" s="385" t="n">
        <f aca="false">IF(101&lt;5,0,IF(MAX(CV38:DA38)&gt;DA43+7+$B$18,1,0))</f>
        <v>0</v>
      </c>
      <c r="DB56" s="385" t="n">
        <f aca="false">IF(102&lt;5,0,IF(MAX(CW38:DB38)&gt;DB43+7+$B$18,1,0))</f>
        <v>0</v>
      </c>
      <c r="DC56" s="385" t="n">
        <f aca="false">IF(103&lt;5,0,IF(MAX(CX38:DC38)&gt;DC43+7+$B$18,1,0))</f>
        <v>0</v>
      </c>
      <c r="DD56" s="385" t="n">
        <f aca="false">IF(104&lt;5,0,IF(MAX(CY38:DD38)&gt;DD43+7+$B$18,1,0))</f>
        <v>0</v>
      </c>
      <c r="DE56" s="385" t="n">
        <f aca="false">IF(105&lt;5,0,IF(MAX(CZ38:DE38)&gt;DE43+7+$B$18,1,0))</f>
        <v>0</v>
      </c>
    </row>
    <row r="57" customFormat="false" ht="13.5" hidden="false" customHeight="true" outlineLevel="0" collapsed="false">
      <c r="A57" s="110" t="s">
        <v>1393</v>
      </c>
      <c r="B57" s="213" t="n">
        <f aca="false">$B$27</f>
        <v>125000</v>
      </c>
      <c r="E57" s="385" t="n">
        <f aca="false">IF(1&lt;5,0,IF(MAX(E38)&gt;E43+8+$B$18,1,0))</f>
        <v>0</v>
      </c>
      <c r="F57" s="385" t="n">
        <f aca="false">IF(2&lt;5,0,IF(MAX(E38:F38)&gt;F43+8+$B$18,1,0))</f>
        <v>0</v>
      </c>
      <c r="G57" s="385" t="n">
        <f aca="false">IF(3&lt;5,0,IF(MAX(E38:G38)&gt;G43+8+$B$18,1,0))</f>
        <v>0</v>
      </c>
      <c r="H57" s="385" t="n">
        <f aca="false">IF(4&lt;5,0,IF(MAX(E38:H38)&gt;H43+8+$B$18,1,0))</f>
        <v>0</v>
      </c>
      <c r="I57" s="385" t="n">
        <f aca="false">IF(5&lt;5,0,IF(MAX(E38:I38)&gt;I43+8+$B$18,1,0))</f>
        <v>0</v>
      </c>
      <c r="J57" s="385" t="n">
        <f aca="false">IF(6&lt;5,0,IF(MAX(E38:J38)&gt;J43+8+$B$18,1,0))</f>
        <v>0</v>
      </c>
      <c r="K57" s="385" t="n">
        <f aca="false">IF(7&lt;5,0,IF(MAX(F38:K38)&gt;K43+8+$B$18,1,0))</f>
        <v>0</v>
      </c>
      <c r="L57" s="385" t="n">
        <f aca="false">IF(8&lt;5,0,IF(MAX(G38:L38)&gt;L43+8+$B$18,1,0))</f>
        <v>0</v>
      </c>
      <c r="M57" s="385" t="n">
        <f aca="false">IF(9&lt;5,0,IF(MAX(H38:M38)&gt;M43+8+$B$18,1,0))</f>
        <v>0</v>
      </c>
      <c r="N57" s="385" t="n">
        <f aca="false">IF(10&lt;5,0,IF(MAX(I38:N38)&gt;N43+8+$B$18,1,0))</f>
        <v>0</v>
      </c>
      <c r="O57" s="385" t="n">
        <f aca="false">IF(11&lt;5,0,IF(MAX(J38:O38)&gt;O43+8+$B$18,1,0))</f>
        <v>0</v>
      </c>
      <c r="P57" s="385" t="n">
        <f aca="false">IF(12&lt;5,0,IF(MAX(K38:P38)&gt;P43+8+$B$18,1,0))</f>
        <v>0</v>
      </c>
      <c r="Q57" s="385" t="n">
        <f aca="false">IF(13&lt;5,0,IF(MAX(L38:Q38)&gt;Q43+8+$B$18,1,0))</f>
        <v>0</v>
      </c>
      <c r="R57" s="385" t="n">
        <f aca="false">IF(14&lt;5,0,IF(MAX(M38:R38)&gt;R43+8+$B$18,1,0))</f>
        <v>0</v>
      </c>
      <c r="S57" s="385" t="n">
        <f aca="false">IF(15&lt;5,0,IF(MAX(N38:S38)&gt;S43+8+$B$18,1,0))</f>
        <v>0</v>
      </c>
      <c r="T57" s="385" t="n">
        <f aca="false">IF(16&lt;5,0,IF(MAX(O38:T38)&gt;T43+8+$B$18,1,0))</f>
        <v>0</v>
      </c>
      <c r="U57" s="385" t="n">
        <f aca="false">IF(17&lt;5,0,IF(MAX(P38:U38)&gt;U43+8+$B$18,1,0))</f>
        <v>0</v>
      </c>
      <c r="V57" s="385" t="n">
        <f aca="false">IF(18&lt;5,0,IF(MAX(Q38:V38)&gt;V43+8+$B$18,1,0))</f>
        <v>0</v>
      </c>
      <c r="W57" s="385" t="n">
        <f aca="false">IF(19&lt;5,0,IF(MAX(R38:W38)&gt;W43+8+$B$18,1,0))</f>
        <v>0</v>
      </c>
      <c r="X57" s="385" t="n">
        <f aca="false">IF(20&lt;5,0,IF(MAX(S38:X38)&gt;X43+8+$B$18,1,0))</f>
        <v>0</v>
      </c>
      <c r="Y57" s="385" t="n">
        <f aca="false">IF(21&lt;5,0,IF(MAX(T38:Y38)&gt;Y43+8+$B$18,1,0))</f>
        <v>0</v>
      </c>
      <c r="Z57" s="385" t="n">
        <f aca="false">IF(22&lt;5,0,IF(MAX(U38:Z38)&gt;Z43+8+$B$18,1,0))</f>
        <v>0</v>
      </c>
      <c r="AA57" s="385" t="n">
        <f aca="false">IF(23&lt;5,0,IF(MAX(V38:AA38)&gt;AA43+8+$B$18,1,0))</f>
        <v>0</v>
      </c>
      <c r="AB57" s="385" t="n">
        <f aca="false">IF(24&lt;5,0,IF(MAX(W38:AB38)&gt;AB43+8+$B$18,1,0))</f>
        <v>0</v>
      </c>
      <c r="AC57" s="385" t="n">
        <f aca="false">IF(25&lt;5,0,IF(MAX(X38:AC38)&gt;AC43+8+$B$18,1,0))</f>
        <v>0</v>
      </c>
      <c r="AD57" s="385" t="n">
        <f aca="false">IF(26&lt;5,0,IF(MAX(Y38:AD38)&gt;AD43+8+$B$18,1,0))</f>
        <v>0</v>
      </c>
      <c r="AE57" s="385" t="n">
        <f aca="false">IF(27&lt;5,0,IF(MAX(Z38:AE38)&gt;AE43+8+$B$18,1,0))</f>
        <v>0</v>
      </c>
      <c r="AF57" s="385" t="n">
        <f aca="false">IF(28&lt;5,0,IF(MAX(AA38:AF38)&gt;AF43+8+$B$18,1,0))</f>
        <v>0</v>
      </c>
      <c r="AG57" s="385" t="n">
        <f aca="false">IF(29&lt;5,0,IF(MAX(AB38:AG38)&gt;AG43+8+$B$18,1,0))</f>
        <v>0</v>
      </c>
      <c r="AH57" s="385" t="n">
        <f aca="false">IF(30&lt;5,0,IF(MAX(AC38:AH38)&gt;AH43+8+$B$18,1,0))</f>
        <v>0</v>
      </c>
      <c r="AI57" s="385" t="n">
        <f aca="false">IF(31&lt;5,0,IF(MAX(AD38:AI38)&gt;AI43+8+$B$18,1,0))</f>
        <v>0</v>
      </c>
      <c r="AJ57" s="385" t="n">
        <f aca="false">IF(32&lt;5,0,IF(MAX(AE38:AJ38)&gt;AJ43+8+$B$18,1,0))</f>
        <v>0</v>
      </c>
      <c r="AK57" s="385" t="n">
        <f aca="false">IF(33&lt;5,0,IF(MAX(AF38:AK38)&gt;AK43+8+$B$18,1,0))</f>
        <v>0</v>
      </c>
      <c r="AL57" s="385" t="n">
        <f aca="false">IF(34&lt;5,0,IF(MAX(AG38:AL38)&gt;AL43+8+$B$18,1,0))</f>
        <v>0</v>
      </c>
      <c r="AM57" s="385" t="n">
        <f aca="false">IF(35&lt;5,0,IF(MAX(AH38:AM38)&gt;AM43+8+$B$18,1,0))</f>
        <v>0</v>
      </c>
      <c r="AN57" s="385" t="n">
        <f aca="false">IF(36&lt;5,0,IF(MAX(AI38:AN38)&gt;AN43+8+$B$18,1,0))</f>
        <v>0</v>
      </c>
      <c r="AO57" s="385" t="n">
        <f aca="false">IF(37&lt;5,0,IF(MAX(AJ38:AO38)&gt;AO43+8+$B$18,1,0))</f>
        <v>0</v>
      </c>
      <c r="AP57" s="385" t="n">
        <f aca="false">IF(38&lt;5,0,IF(MAX(AK38:AP38)&gt;AP43+8+$B$18,1,0))</f>
        <v>0</v>
      </c>
      <c r="AQ57" s="385" t="n">
        <f aca="false">IF(39&lt;5,0,IF(MAX(AL38:AQ38)&gt;AQ43+8+$B$18,1,0))</f>
        <v>0</v>
      </c>
      <c r="AR57" s="385" t="n">
        <f aca="false">IF(40&lt;5,0,IF(MAX(AM38:AR38)&gt;AR43+8+$B$18,1,0))</f>
        <v>0</v>
      </c>
      <c r="AS57" s="385" t="n">
        <f aca="false">IF(41&lt;5,0,IF(MAX(AN38:AS38)&gt;AS43+8+$B$18,1,0))</f>
        <v>0</v>
      </c>
      <c r="AT57" s="385" t="n">
        <f aca="false">IF(42&lt;5,0,IF(MAX(AO38:AT38)&gt;AT43+8+$B$18,1,0))</f>
        <v>0</v>
      </c>
      <c r="AU57" s="385" t="n">
        <f aca="false">IF(43&lt;5,0,IF(MAX(AP38:AU38)&gt;AU43+8+$B$18,1,0))</f>
        <v>0</v>
      </c>
      <c r="AV57" s="385" t="n">
        <f aca="false">IF(44&lt;5,0,IF(MAX(AQ38:AV38)&gt;AV43+8+$B$18,1,0))</f>
        <v>0</v>
      </c>
      <c r="AW57" s="385" t="n">
        <f aca="false">IF(45&lt;5,0,IF(MAX(AR38:AW38)&gt;AW43+8+$B$18,1,0))</f>
        <v>0</v>
      </c>
      <c r="AX57" s="385" t="n">
        <f aca="false">IF(46&lt;5,0,IF(MAX(AS38:AX38)&gt;AX43+8+$B$18,1,0))</f>
        <v>0</v>
      </c>
      <c r="AY57" s="385" t="n">
        <f aca="false">IF(47&lt;5,0,IF(MAX(AT38:AY38)&gt;AY43+8+$B$18,1,0))</f>
        <v>0</v>
      </c>
      <c r="AZ57" s="385" t="n">
        <f aca="false">IF(48&lt;5,0,IF(MAX(AU38:AZ38)&gt;AZ43+8+$B$18,1,0))</f>
        <v>0</v>
      </c>
      <c r="BA57" s="385" t="n">
        <f aca="false">IF(49&lt;5,0,IF(MAX(AV38:BA38)&gt;BA43+8+$B$18,1,0))</f>
        <v>0</v>
      </c>
      <c r="BB57" s="385" t="n">
        <f aca="false">IF(50&lt;5,0,IF(MAX(AW38:BB38)&gt;BB43+8+$B$18,1,0))</f>
        <v>0</v>
      </c>
      <c r="BC57" s="385" t="n">
        <f aca="false">IF(51&lt;5,0,IF(MAX(AX38:BC38)&gt;BC43+8+$B$18,1,0))</f>
        <v>0</v>
      </c>
      <c r="BD57" s="385" t="n">
        <f aca="false">IF(52&lt;5,0,IF(MAX(AY38:BD38)&gt;BD43+8+$B$18,1,0))</f>
        <v>0</v>
      </c>
      <c r="BE57" s="385" t="n">
        <f aca="false">IF(53&lt;5,0,IF(MAX(AZ38:BE38)&gt;BE43+8+$B$18,1,0))</f>
        <v>0</v>
      </c>
      <c r="BF57" s="385" t="n">
        <f aca="false">IF(54&lt;5,0,IF(MAX(BA38:BF38)&gt;BF43+8+$B$18,1,0))</f>
        <v>0</v>
      </c>
      <c r="BG57" s="385" t="n">
        <f aca="false">IF(55&lt;5,0,IF(MAX(BB38:BG38)&gt;BG43+8+$B$18,1,0))</f>
        <v>0</v>
      </c>
      <c r="BH57" s="385" t="n">
        <f aca="false">IF(56&lt;5,0,IF(MAX(BC38:BH38)&gt;BH43+8+$B$18,1,0))</f>
        <v>0</v>
      </c>
      <c r="BI57" s="385" t="n">
        <f aca="false">IF(57&lt;5,0,IF(MAX(BD38:BI38)&gt;BI43+8+$B$18,1,0))</f>
        <v>0</v>
      </c>
      <c r="BJ57" s="385" t="n">
        <f aca="false">IF(58&lt;5,0,IF(MAX(BE38:BJ38)&gt;BJ43+8+$B$18,1,0))</f>
        <v>0</v>
      </c>
      <c r="BK57" s="385" t="n">
        <f aca="false">IF(59&lt;5,0,IF(MAX(BF38:BK38)&gt;BK43+8+$B$18,1,0))</f>
        <v>0</v>
      </c>
      <c r="BL57" s="385" t="n">
        <f aca="false">IF(60&lt;5,0,IF(MAX(BG38:BL38)&gt;BL43+8+$B$18,1,0))</f>
        <v>0</v>
      </c>
      <c r="BM57" s="385" t="n">
        <f aca="false">IF(61&lt;5,0,IF(MAX(BH38:BM38)&gt;BM43+8+$B$18,1,0))</f>
        <v>0</v>
      </c>
      <c r="BN57" s="385" t="n">
        <f aca="false">IF(62&lt;5,0,IF(MAX(BI38:BN38)&gt;BN43+8+$B$18,1,0))</f>
        <v>0</v>
      </c>
      <c r="BO57" s="385" t="n">
        <f aca="false">IF(63&lt;5,0,IF(MAX(BJ38:BO38)&gt;BO43+8+$B$18,1,0))</f>
        <v>0</v>
      </c>
      <c r="BP57" s="385" t="n">
        <f aca="false">IF(64&lt;5,0,IF(MAX(BK38:BP38)&gt;BP43+8+$B$18,1,0))</f>
        <v>0</v>
      </c>
      <c r="BQ57" s="385" t="n">
        <f aca="false">IF(65&lt;5,0,IF(MAX(BL38:BQ38)&gt;BQ43+8+$B$18,1,0))</f>
        <v>0</v>
      </c>
      <c r="BR57" s="385" t="n">
        <f aca="false">IF(66&lt;5,0,IF(MAX(BM38:BR38)&gt;BR43+8+$B$18,1,0))</f>
        <v>0</v>
      </c>
      <c r="BS57" s="385" t="n">
        <f aca="false">IF(67&lt;5,0,IF(MAX(BN38:BS38)&gt;BS43+8+$B$18,1,0))</f>
        <v>0</v>
      </c>
      <c r="BT57" s="385" t="n">
        <f aca="false">IF(68&lt;5,0,IF(MAX(BO38:BT38)&gt;BT43+8+$B$18,1,0))</f>
        <v>0</v>
      </c>
      <c r="BU57" s="385" t="n">
        <f aca="false">IF(69&lt;5,0,IF(MAX(BP38:BU38)&gt;BU43+8+$B$18,1,0))</f>
        <v>0</v>
      </c>
      <c r="BV57" s="385" t="n">
        <f aca="false">IF(70&lt;5,0,IF(MAX(BQ38:BV38)&gt;BV43+8+$B$18,1,0))</f>
        <v>0</v>
      </c>
      <c r="BW57" s="385" t="n">
        <f aca="false">IF(71&lt;5,0,IF(MAX(BR38:BW38)&gt;BW43+8+$B$18,1,0))</f>
        <v>0</v>
      </c>
      <c r="BX57" s="385" t="n">
        <f aca="false">IF(72&lt;5,0,IF(MAX(BS38:BX38)&gt;BX43+8+$B$18,1,0))</f>
        <v>0</v>
      </c>
      <c r="BY57" s="385" t="n">
        <f aca="false">IF(73&lt;5,0,IF(MAX(BT38:BY38)&gt;BY43+8+$B$18,1,0))</f>
        <v>0</v>
      </c>
      <c r="BZ57" s="385" t="n">
        <f aca="false">IF(74&lt;5,0,IF(MAX(BU38:BZ38)&gt;BZ43+8+$B$18,1,0))</f>
        <v>0</v>
      </c>
      <c r="CA57" s="385" t="n">
        <f aca="false">IF(75&lt;5,0,IF(MAX(BV38:CA38)&gt;CA43+8+$B$18,1,0))</f>
        <v>0</v>
      </c>
      <c r="CB57" s="385" t="n">
        <f aca="false">IF(76&lt;5,0,IF(MAX(BW38:CB38)&gt;CB43+8+$B$18,1,0))</f>
        <v>0</v>
      </c>
      <c r="CC57" s="385" t="n">
        <f aca="false">IF(77&lt;5,0,IF(MAX(BX38:CC38)&gt;CC43+8+$B$18,1,0))</f>
        <v>0</v>
      </c>
      <c r="CD57" s="385" t="n">
        <f aca="false">IF(78&lt;5,0,IF(MAX(BY38:CD38)&gt;CD43+8+$B$18,1,0))</f>
        <v>0</v>
      </c>
      <c r="CE57" s="385" t="n">
        <f aca="false">IF(79&lt;5,0,IF(MAX(BZ38:CE38)&gt;CE43+8+$B$18,1,0))</f>
        <v>0</v>
      </c>
      <c r="CF57" s="385" t="n">
        <f aca="false">IF(80&lt;5,0,IF(MAX(CA38:CF38)&gt;CF43+8+$B$18,1,0))</f>
        <v>0</v>
      </c>
      <c r="CG57" s="385" t="n">
        <f aca="false">IF(81&lt;5,0,IF(MAX(CB38:CG38)&gt;CG43+8+$B$18,1,0))</f>
        <v>0</v>
      </c>
      <c r="CH57" s="385" t="n">
        <f aca="false">IF(82&lt;5,0,IF(MAX(CC38:CH38)&gt;CH43+8+$B$18,1,0))</f>
        <v>0</v>
      </c>
      <c r="CI57" s="385" t="n">
        <f aca="false">IF(83&lt;5,0,IF(MAX(CD38:CI38)&gt;CI43+8+$B$18,1,0))</f>
        <v>0</v>
      </c>
      <c r="CJ57" s="385" t="n">
        <f aca="false">IF(84&lt;5,0,IF(MAX(CE38:CJ38)&gt;CJ43+8+$B$18,1,0))</f>
        <v>0</v>
      </c>
      <c r="CK57" s="385" t="n">
        <f aca="false">IF(85&lt;5,0,IF(MAX(CF38:CK38)&gt;CK43+8+$B$18,1,0))</f>
        <v>0</v>
      </c>
      <c r="CL57" s="385" t="n">
        <f aca="false">IF(86&lt;5,0,IF(MAX(CG38:CL38)&gt;CL43+8+$B$18,1,0))</f>
        <v>0</v>
      </c>
      <c r="CM57" s="385" t="n">
        <f aca="false">IF(87&lt;5,0,IF(MAX(CH38:CM38)&gt;CM43+8+$B$18,1,0))</f>
        <v>0</v>
      </c>
      <c r="CN57" s="385" t="n">
        <f aca="false">IF(88&lt;5,0,IF(MAX(CI38:CN38)&gt;CN43+8+$B$18,1,0))</f>
        <v>0</v>
      </c>
      <c r="CO57" s="385" t="n">
        <f aca="false">IF(89&lt;5,0,IF(MAX(CJ38:CO38)&gt;CO43+8+$B$18,1,0))</f>
        <v>0</v>
      </c>
      <c r="CP57" s="385" t="n">
        <f aca="false">IF(90&lt;5,0,IF(MAX(CK38:CP38)&gt;CP43+8+$B$18,1,0))</f>
        <v>0</v>
      </c>
      <c r="CQ57" s="385" t="n">
        <f aca="false">IF(91&lt;5,0,IF(MAX(CL38:CQ38)&gt;CQ43+8+$B$18,1,0))</f>
        <v>0</v>
      </c>
      <c r="CR57" s="385" t="n">
        <f aca="false">IF(92&lt;5,0,IF(MAX(CM38:CR38)&gt;CR43+8+$B$18,1,0))</f>
        <v>0</v>
      </c>
      <c r="CS57" s="385" t="n">
        <f aca="false">IF(93&lt;5,0,IF(MAX(CN38:CS38)&gt;CS43+8+$B$18,1,0))</f>
        <v>0</v>
      </c>
      <c r="CT57" s="385" t="n">
        <f aca="false">IF(94&lt;5,0,IF(MAX(CO38:CT38)&gt;CT43+8+$B$18,1,0))</f>
        <v>0</v>
      </c>
      <c r="CU57" s="385" t="n">
        <f aca="false">IF(95&lt;5,0,IF(MAX(CP38:CU38)&gt;CU43+8+$B$18,1,0))</f>
        <v>0</v>
      </c>
      <c r="CV57" s="385" t="n">
        <f aca="false">IF(96&lt;5,0,IF(MAX(CQ38:CV38)&gt;CV43+8+$B$18,1,0))</f>
        <v>0</v>
      </c>
      <c r="CW57" s="385" t="n">
        <f aca="false">IF(97&lt;5,0,IF(MAX(CR38:CW38)&gt;CW43+8+$B$18,1,0))</f>
        <v>0</v>
      </c>
      <c r="CX57" s="385" t="n">
        <f aca="false">IF(98&lt;5,0,IF(MAX(CS38:CX38)&gt;CX43+8+$B$18,1,0))</f>
        <v>0</v>
      </c>
      <c r="CY57" s="385" t="n">
        <f aca="false">IF(99&lt;5,0,IF(MAX(CT38:CY38)&gt;CY43+8+$B$18,1,0))</f>
        <v>0</v>
      </c>
      <c r="CZ57" s="385" t="n">
        <f aca="false">IF(100&lt;5,0,IF(MAX(CU38:CZ38)&gt;CZ43+8+$B$18,1,0))</f>
        <v>0</v>
      </c>
      <c r="DA57" s="385" t="n">
        <f aca="false">IF(101&lt;5,0,IF(MAX(CV38:DA38)&gt;DA43+8+$B$18,1,0))</f>
        <v>0</v>
      </c>
      <c r="DB57" s="385" t="n">
        <f aca="false">IF(102&lt;5,0,IF(MAX(CW38:DB38)&gt;DB43+8+$B$18,1,0))</f>
        <v>0</v>
      </c>
      <c r="DC57" s="385" t="n">
        <f aca="false">IF(103&lt;5,0,IF(MAX(CX38:DC38)&gt;DC43+8+$B$18,1,0))</f>
        <v>0</v>
      </c>
      <c r="DD57" s="385" t="n">
        <f aca="false">IF(104&lt;5,0,IF(MAX(CY38:DD38)&gt;DD43+8+$B$18,1,0))</f>
        <v>0</v>
      </c>
      <c r="DE57" s="385" t="n">
        <f aca="false">IF(105&lt;5,0,IF(MAX(CZ38:DE38)&gt;DE43+8+$B$18,1,0))</f>
        <v>0</v>
      </c>
    </row>
    <row r="58" customFormat="false" ht="13.5" hidden="false" customHeight="true" outlineLevel="0" collapsed="false">
      <c r="A58" s="110" t="s">
        <v>1394</v>
      </c>
      <c r="B58" s="213" t="n">
        <f aca="false">$B$27</f>
        <v>125000</v>
      </c>
      <c r="E58" s="385" t="n">
        <f aca="false">IF(1&lt;5,0,IF(MAX(E38)&gt;E43+9+$B$18,1,0))</f>
        <v>0</v>
      </c>
      <c r="F58" s="385" t="n">
        <f aca="false">IF(2&lt;5,0,IF(MAX(E38:F38)&gt;F43+9+$B$18,1,0))</f>
        <v>0</v>
      </c>
      <c r="G58" s="385" t="n">
        <f aca="false">IF(3&lt;5,0,IF(MAX(E38:G38)&gt;G43+9+$B$18,1,0))</f>
        <v>0</v>
      </c>
      <c r="H58" s="385" t="n">
        <f aca="false">IF(4&lt;5,0,IF(MAX(E38:H38)&gt;H43+9+$B$18,1,0))</f>
        <v>0</v>
      </c>
      <c r="I58" s="385" t="n">
        <f aca="false">IF(5&lt;5,0,IF(MAX(E38:I38)&gt;I43+9+$B$18,1,0))</f>
        <v>0</v>
      </c>
      <c r="J58" s="385" t="n">
        <f aca="false">IF(6&lt;5,0,IF(MAX(E38:J38)&gt;J43+9+$B$18,1,0))</f>
        <v>0</v>
      </c>
      <c r="K58" s="385" t="n">
        <f aca="false">IF(7&lt;5,0,IF(MAX(F38:K38)&gt;K43+9+$B$18,1,0))</f>
        <v>0</v>
      </c>
      <c r="L58" s="385" t="n">
        <f aca="false">IF(8&lt;5,0,IF(MAX(G38:L38)&gt;L43+9+$B$18,1,0))</f>
        <v>0</v>
      </c>
      <c r="M58" s="385" t="n">
        <f aca="false">IF(9&lt;5,0,IF(MAX(H38:M38)&gt;M43+9+$B$18,1,0))</f>
        <v>0</v>
      </c>
      <c r="N58" s="385" t="n">
        <f aca="false">IF(10&lt;5,0,IF(MAX(I38:N38)&gt;N43+9+$B$18,1,0))</f>
        <v>0</v>
      </c>
      <c r="O58" s="385" t="n">
        <f aca="false">IF(11&lt;5,0,IF(MAX(J38:O38)&gt;O43+9+$B$18,1,0))</f>
        <v>0</v>
      </c>
      <c r="P58" s="385" t="n">
        <f aca="false">IF(12&lt;5,0,IF(MAX(K38:P38)&gt;P43+9+$B$18,1,0))</f>
        <v>0</v>
      </c>
      <c r="Q58" s="385" t="n">
        <f aca="false">IF(13&lt;5,0,IF(MAX(L38:Q38)&gt;Q43+9+$B$18,1,0))</f>
        <v>0</v>
      </c>
      <c r="R58" s="385" t="n">
        <f aca="false">IF(14&lt;5,0,IF(MAX(M38:R38)&gt;R43+9+$B$18,1,0))</f>
        <v>0</v>
      </c>
      <c r="S58" s="385" t="n">
        <f aca="false">IF(15&lt;5,0,IF(MAX(N38:S38)&gt;S43+9+$B$18,1,0))</f>
        <v>0</v>
      </c>
      <c r="T58" s="385" t="n">
        <f aca="false">IF(16&lt;5,0,IF(MAX(O38:T38)&gt;T43+9+$B$18,1,0))</f>
        <v>0</v>
      </c>
      <c r="U58" s="385" t="n">
        <f aca="false">IF(17&lt;5,0,IF(MAX(P38:U38)&gt;U43+9+$B$18,1,0))</f>
        <v>0</v>
      </c>
      <c r="V58" s="385" t="n">
        <f aca="false">IF(18&lt;5,0,IF(MAX(Q38:V38)&gt;V43+9+$B$18,1,0))</f>
        <v>0</v>
      </c>
      <c r="W58" s="385" t="n">
        <f aca="false">IF(19&lt;5,0,IF(MAX(R38:W38)&gt;W43+9+$B$18,1,0))</f>
        <v>0</v>
      </c>
      <c r="X58" s="385" t="n">
        <f aca="false">IF(20&lt;5,0,IF(MAX(S38:X38)&gt;X43+9+$B$18,1,0))</f>
        <v>0</v>
      </c>
      <c r="Y58" s="385" t="n">
        <f aca="false">IF(21&lt;5,0,IF(MAX(T38:Y38)&gt;Y43+9+$B$18,1,0))</f>
        <v>0</v>
      </c>
      <c r="Z58" s="385" t="n">
        <f aca="false">IF(22&lt;5,0,IF(MAX(U38:Z38)&gt;Z43+9+$B$18,1,0))</f>
        <v>0</v>
      </c>
      <c r="AA58" s="385" t="n">
        <f aca="false">IF(23&lt;5,0,IF(MAX(V38:AA38)&gt;AA43+9+$B$18,1,0))</f>
        <v>0</v>
      </c>
      <c r="AB58" s="385" t="n">
        <f aca="false">IF(24&lt;5,0,IF(MAX(W38:AB38)&gt;AB43+9+$B$18,1,0))</f>
        <v>0</v>
      </c>
      <c r="AC58" s="385" t="n">
        <f aca="false">IF(25&lt;5,0,IF(MAX(X38:AC38)&gt;AC43+9+$B$18,1,0))</f>
        <v>0</v>
      </c>
      <c r="AD58" s="385" t="n">
        <f aca="false">IF(26&lt;5,0,IF(MAX(Y38:AD38)&gt;AD43+9+$B$18,1,0))</f>
        <v>0</v>
      </c>
      <c r="AE58" s="385" t="n">
        <f aca="false">IF(27&lt;5,0,IF(MAX(Z38:AE38)&gt;AE43+9+$B$18,1,0))</f>
        <v>0</v>
      </c>
      <c r="AF58" s="385" t="n">
        <f aca="false">IF(28&lt;5,0,IF(MAX(AA38:AF38)&gt;AF43+9+$B$18,1,0))</f>
        <v>0</v>
      </c>
      <c r="AG58" s="385" t="n">
        <f aca="false">IF(29&lt;5,0,IF(MAX(AB38:AG38)&gt;AG43+9+$B$18,1,0))</f>
        <v>0</v>
      </c>
      <c r="AH58" s="385" t="n">
        <f aca="false">IF(30&lt;5,0,IF(MAX(AC38:AH38)&gt;AH43+9+$B$18,1,0))</f>
        <v>0</v>
      </c>
      <c r="AI58" s="385" t="n">
        <f aca="false">IF(31&lt;5,0,IF(MAX(AD38:AI38)&gt;AI43+9+$B$18,1,0))</f>
        <v>0</v>
      </c>
      <c r="AJ58" s="385" t="n">
        <f aca="false">IF(32&lt;5,0,IF(MAX(AE38:AJ38)&gt;AJ43+9+$B$18,1,0))</f>
        <v>0</v>
      </c>
      <c r="AK58" s="385" t="n">
        <f aca="false">IF(33&lt;5,0,IF(MAX(AF38:AK38)&gt;AK43+9+$B$18,1,0))</f>
        <v>0</v>
      </c>
      <c r="AL58" s="385" t="n">
        <f aca="false">IF(34&lt;5,0,IF(MAX(AG38:AL38)&gt;AL43+9+$B$18,1,0))</f>
        <v>0</v>
      </c>
      <c r="AM58" s="385" t="n">
        <f aca="false">IF(35&lt;5,0,IF(MAX(AH38:AM38)&gt;AM43+9+$B$18,1,0))</f>
        <v>0</v>
      </c>
      <c r="AN58" s="385" t="n">
        <f aca="false">IF(36&lt;5,0,IF(MAX(AI38:AN38)&gt;AN43+9+$B$18,1,0))</f>
        <v>0</v>
      </c>
      <c r="AO58" s="385" t="n">
        <f aca="false">IF(37&lt;5,0,IF(MAX(AJ38:AO38)&gt;AO43+9+$B$18,1,0))</f>
        <v>0</v>
      </c>
      <c r="AP58" s="385" t="n">
        <f aca="false">IF(38&lt;5,0,IF(MAX(AK38:AP38)&gt;AP43+9+$B$18,1,0))</f>
        <v>0</v>
      </c>
      <c r="AQ58" s="385" t="n">
        <f aca="false">IF(39&lt;5,0,IF(MAX(AL38:AQ38)&gt;AQ43+9+$B$18,1,0))</f>
        <v>0</v>
      </c>
      <c r="AR58" s="385" t="n">
        <f aca="false">IF(40&lt;5,0,IF(MAX(AM38:AR38)&gt;AR43+9+$B$18,1,0))</f>
        <v>0</v>
      </c>
      <c r="AS58" s="385" t="n">
        <f aca="false">IF(41&lt;5,0,IF(MAX(AN38:AS38)&gt;AS43+9+$B$18,1,0))</f>
        <v>0</v>
      </c>
      <c r="AT58" s="385" t="n">
        <f aca="false">IF(42&lt;5,0,IF(MAX(AO38:AT38)&gt;AT43+9+$B$18,1,0))</f>
        <v>0</v>
      </c>
      <c r="AU58" s="385" t="n">
        <f aca="false">IF(43&lt;5,0,IF(MAX(AP38:AU38)&gt;AU43+9+$B$18,1,0))</f>
        <v>0</v>
      </c>
      <c r="AV58" s="385" t="n">
        <f aca="false">IF(44&lt;5,0,IF(MAX(AQ38:AV38)&gt;AV43+9+$B$18,1,0))</f>
        <v>0</v>
      </c>
      <c r="AW58" s="385" t="n">
        <f aca="false">IF(45&lt;5,0,IF(MAX(AR38:AW38)&gt;AW43+9+$B$18,1,0))</f>
        <v>0</v>
      </c>
      <c r="AX58" s="385" t="n">
        <f aca="false">IF(46&lt;5,0,IF(MAX(AS38:AX38)&gt;AX43+9+$B$18,1,0))</f>
        <v>0</v>
      </c>
      <c r="AY58" s="385" t="n">
        <f aca="false">IF(47&lt;5,0,IF(MAX(AT38:AY38)&gt;AY43+9+$B$18,1,0))</f>
        <v>0</v>
      </c>
      <c r="AZ58" s="385" t="n">
        <f aca="false">IF(48&lt;5,0,IF(MAX(AU38:AZ38)&gt;AZ43+9+$B$18,1,0))</f>
        <v>0</v>
      </c>
      <c r="BA58" s="385" t="n">
        <f aca="false">IF(49&lt;5,0,IF(MAX(AV38:BA38)&gt;BA43+9+$B$18,1,0))</f>
        <v>0</v>
      </c>
      <c r="BB58" s="385" t="n">
        <f aca="false">IF(50&lt;5,0,IF(MAX(AW38:BB38)&gt;BB43+9+$B$18,1,0))</f>
        <v>0</v>
      </c>
      <c r="BC58" s="385" t="n">
        <f aca="false">IF(51&lt;5,0,IF(MAX(AX38:BC38)&gt;BC43+9+$B$18,1,0))</f>
        <v>0</v>
      </c>
      <c r="BD58" s="385" t="n">
        <f aca="false">IF(52&lt;5,0,IF(MAX(AY38:BD38)&gt;BD43+9+$B$18,1,0))</f>
        <v>0</v>
      </c>
      <c r="BE58" s="385" t="n">
        <f aca="false">IF(53&lt;5,0,IF(MAX(AZ38:BE38)&gt;BE43+9+$B$18,1,0))</f>
        <v>0</v>
      </c>
      <c r="BF58" s="385" t="n">
        <f aca="false">IF(54&lt;5,0,IF(MAX(BA38:BF38)&gt;BF43+9+$B$18,1,0))</f>
        <v>0</v>
      </c>
      <c r="BG58" s="385" t="n">
        <f aca="false">IF(55&lt;5,0,IF(MAX(BB38:BG38)&gt;BG43+9+$B$18,1,0))</f>
        <v>0</v>
      </c>
      <c r="BH58" s="385" t="n">
        <f aca="false">IF(56&lt;5,0,IF(MAX(BC38:BH38)&gt;BH43+9+$B$18,1,0))</f>
        <v>0</v>
      </c>
      <c r="BI58" s="385" t="n">
        <f aca="false">IF(57&lt;5,0,IF(MAX(BD38:BI38)&gt;BI43+9+$B$18,1,0))</f>
        <v>0</v>
      </c>
      <c r="BJ58" s="385" t="n">
        <f aca="false">IF(58&lt;5,0,IF(MAX(BE38:BJ38)&gt;BJ43+9+$B$18,1,0))</f>
        <v>0</v>
      </c>
      <c r="BK58" s="385" t="n">
        <f aca="false">IF(59&lt;5,0,IF(MAX(BF38:BK38)&gt;BK43+9+$B$18,1,0))</f>
        <v>0</v>
      </c>
      <c r="BL58" s="385" t="n">
        <f aca="false">IF(60&lt;5,0,IF(MAX(BG38:BL38)&gt;BL43+9+$B$18,1,0))</f>
        <v>0</v>
      </c>
      <c r="BM58" s="385" t="n">
        <f aca="false">IF(61&lt;5,0,IF(MAX(BH38:BM38)&gt;BM43+9+$B$18,1,0))</f>
        <v>0</v>
      </c>
      <c r="BN58" s="385" t="n">
        <f aca="false">IF(62&lt;5,0,IF(MAX(BI38:BN38)&gt;BN43+9+$B$18,1,0))</f>
        <v>0</v>
      </c>
      <c r="BO58" s="385" t="n">
        <f aca="false">IF(63&lt;5,0,IF(MAX(BJ38:BO38)&gt;BO43+9+$B$18,1,0))</f>
        <v>0</v>
      </c>
      <c r="BP58" s="385" t="n">
        <f aca="false">IF(64&lt;5,0,IF(MAX(BK38:BP38)&gt;BP43+9+$B$18,1,0))</f>
        <v>0</v>
      </c>
      <c r="BQ58" s="385" t="n">
        <f aca="false">IF(65&lt;5,0,IF(MAX(BL38:BQ38)&gt;BQ43+9+$B$18,1,0))</f>
        <v>0</v>
      </c>
      <c r="BR58" s="385" t="n">
        <f aca="false">IF(66&lt;5,0,IF(MAX(BM38:BR38)&gt;BR43+9+$B$18,1,0))</f>
        <v>0</v>
      </c>
      <c r="BS58" s="385" t="n">
        <f aca="false">IF(67&lt;5,0,IF(MAX(BN38:BS38)&gt;BS43+9+$B$18,1,0))</f>
        <v>0</v>
      </c>
      <c r="BT58" s="385" t="n">
        <f aca="false">IF(68&lt;5,0,IF(MAX(BO38:BT38)&gt;BT43+9+$B$18,1,0))</f>
        <v>0</v>
      </c>
      <c r="BU58" s="385" t="n">
        <f aca="false">IF(69&lt;5,0,IF(MAX(BP38:BU38)&gt;BU43+9+$B$18,1,0))</f>
        <v>0</v>
      </c>
      <c r="BV58" s="385" t="n">
        <f aca="false">IF(70&lt;5,0,IF(MAX(BQ38:BV38)&gt;BV43+9+$B$18,1,0))</f>
        <v>0</v>
      </c>
      <c r="BW58" s="385" t="n">
        <f aca="false">IF(71&lt;5,0,IF(MAX(BR38:BW38)&gt;BW43+9+$B$18,1,0))</f>
        <v>0</v>
      </c>
      <c r="BX58" s="385" t="n">
        <f aca="false">IF(72&lt;5,0,IF(MAX(BS38:BX38)&gt;BX43+9+$B$18,1,0))</f>
        <v>0</v>
      </c>
      <c r="BY58" s="385" t="n">
        <f aca="false">IF(73&lt;5,0,IF(MAX(BT38:BY38)&gt;BY43+9+$B$18,1,0))</f>
        <v>0</v>
      </c>
      <c r="BZ58" s="385" t="n">
        <f aca="false">IF(74&lt;5,0,IF(MAX(BU38:BZ38)&gt;BZ43+9+$B$18,1,0))</f>
        <v>0</v>
      </c>
      <c r="CA58" s="385" t="n">
        <f aca="false">IF(75&lt;5,0,IF(MAX(BV38:CA38)&gt;CA43+9+$B$18,1,0))</f>
        <v>0</v>
      </c>
      <c r="CB58" s="385" t="n">
        <f aca="false">IF(76&lt;5,0,IF(MAX(BW38:CB38)&gt;CB43+9+$B$18,1,0))</f>
        <v>0</v>
      </c>
      <c r="CC58" s="385" t="n">
        <f aca="false">IF(77&lt;5,0,IF(MAX(BX38:CC38)&gt;CC43+9+$B$18,1,0))</f>
        <v>0</v>
      </c>
      <c r="CD58" s="385" t="n">
        <f aca="false">IF(78&lt;5,0,IF(MAX(BY38:CD38)&gt;CD43+9+$B$18,1,0))</f>
        <v>0</v>
      </c>
      <c r="CE58" s="385" t="n">
        <f aca="false">IF(79&lt;5,0,IF(MAX(BZ38:CE38)&gt;CE43+9+$B$18,1,0))</f>
        <v>0</v>
      </c>
      <c r="CF58" s="385" t="n">
        <f aca="false">IF(80&lt;5,0,IF(MAX(CA38:CF38)&gt;CF43+9+$B$18,1,0))</f>
        <v>0</v>
      </c>
      <c r="CG58" s="385" t="n">
        <f aca="false">IF(81&lt;5,0,IF(MAX(CB38:CG38)&gt;CG43+9+$B$18,1,0))</f>
        <v>0</v>
      </c>
      <c r="CH58" s="385" t="n">
        <f aca="false">IF(82&lt;5,0,IF(MAX(CC38:CH38)&gt;CH43+9+$B$18,1,0))</f>
        <v>0</v>
      </c>
      <c r="CI58" s="385" t="n">
        <f aca="false">IF(83&lt;5,0,IF(MAX(CD38:CI38)&gt;CI43+9+$B$18,1,0))</f>
        <v>0</v>
      </c>
      <c r="CJ58" s="385" t="n">
        <f aca="false">IF(84&lt;5,0,IF(MAX(CE38:CJ38)&gt;CJ43+9+$B$18,1,0))</f>
        <v>0</v>
      </c>
      <c r="CK58" s="385" t="n">
        <f aca="false">IF(85&lt;5,0,IF(MAX(CF38:CK38)&gt;CK43+9+$B$18,1,0))</f>
        <v>0</v>
      </c>
      <c r="CL58" s="385" t="n">
        <f aca="false">IF(86&lt;5,0,IF(MAX(CG38:CL38)&gt;CL43+9+$B$18,1,0))</f>
        <v>0</v>
      </c>
      <c r="CM58" s="385" t="n">
        <f aca="false">IF(87&lt;5,0,IF(MAX(CH38:CM38)&gt;CM43+9+$B$18,1,0))</f>
        <v>0</v>
      </c>
      <c r="CN58" s="385" t="n">
        <f aca="false">IF(88&lt;5,0,IF(MAX(CI38:CN38)&gt;CN43+9+$B$18,1,0))</f>
        <v>0</v>
      </c>
      <c r="CO58" s="385" t="n">
        <f aca="false">IF(89&lt;5,0,IF(MAX(CJ38:CO38)&gt;CO43+9+$B$18,1,0))</f>
        <v>0</v>
      </c>
      <c r="CP58" s="385" t="n">
        <f aca="false">IF(90&lt;5,0,IF(MAX(CK38:CP38)&gt;CP43+9+$B$18,1,0))</f>
        <v>0</v>
      </c>
      <c r="CQ58" s="385" t="n">
        <f aca="false">IF(91&lt;5,0,IF(MAX(CL38:CQ38)&gt;CQ43+9+$B$18,1,0))</f>
        <v>0</v>
      </c>
      <c r="CR58" s="385" t="n">
        <f aca="false">IF(92&lt;5,0,IF(MAX(CM38:CR38)&gt;CR43+9+$B$18,1,0))</f>
        <v>0</v>
      </c>
      <c r="CS58" s="385" t="n">
        <f aca="false">IF(93&lt;5,0,IF(MAX(CN38:CS38)&gt;CS43+9+$B$18,1,0))</f>
        <v>0</v>
      </c>
      <c r="CT58" s="385" t="n">
        <f aca="false">IF(94&lt;5,0,IF(MAX(CO38:CT38)&gt;CT43+9+$B$18,1,0))</f>
        <v>0</v>
      </c>
      <c r="CU58" s="385" t="n">
        <f aca="false">IF(95&lt;5,0,IF(MAX(CP38:CU38)&gt;CU43+9+$B$18,1,0))</f>
        <v>0</v>
      </c>
      <c r="CV58" s="385" t="n">
        <f aca="false">IF(96&lt;5,0,IF(MAX(CQ38:CV38)&gt;CV43+9+$B$18,1,0))</f>
        <v>0</v>
      </c>
      <c r="CW58" s="385" t="n">
        <f aca="false">IF(97&lt;5,0,IF(MAX(CR38:CW38)&gt;CW43+9+$B$18,1,0))</f>
        <v>0</v>
      </c>
      <c r="CX58" s="385" t="n">
        <f aca="false">IF(98&lt;5,0,IF(MAX(CS38:CX38)&gt;CX43+9+$B$18,1,0))</f>
        <v>0</v>
      </c>
      <c r="CY58" s="385" t="n">
        <f aca="false">IF(99&lt;5,0,IF(MAX(CT38:CY38)&gt;CY43+9+$B$18,1,0))</f>
        <v>0</v>
      </c>
      <c r="CZ58" s="385" t="n">
        <f aca="false">IF(100&lt;5,0,IF(MAX(CU38:CZ38)&gt;CZ43+9+$B$18,1,0))</f>
        <v>0</v>
      </c>
      <c r="DA58" s="385" t="n">
        <f aca="false">IF(101&lt;5,0,IF(MAX(CV38:DA38)&gt;DA43+9+$B$18,1,0))</f>
        <v>0</v>
      </c>
      <c r="DB58" s="385" t="n">
        <f aca="false">IF(102&lt;5,0,IF(MAX(CW38:DB38)&gt;DB43+9+$B$18,1,0))</f>
        <v>0</v>
      </c>
      <c r="DC58" s="385" t="n">
        <f aca="false">IF(103&lt;5,0,IF(MAX(CX38:DC38)&gt;DC43+9+$B$18,1,0))</f>
        <v>0</v>
      </c>
      <c r="DD58" s="385" t="n">
        <f aca="false">IF(104&lt;5,0,IF(MAX(CY38:DD38)&gt;DD43+9+$B$18,1,0))</f>
        <v>0</v>
      </c>
      <c r="DE58" s="385"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1395</v>
      </c>
      <c r="B61" s="213" t="n">
        <f aca="false">$B$28</f>
        <v>130000</v>
      </c>
      <c r="E61" s="385" t="n">
        <f aca="false">IF(1&lt;5,0,IF(MAX(E39)&gt;E44+0+$B$18,1,0))</f>
        <v>0</v>
      </c>
      <c r="F61" s="385" t="n">
        <f aca="false">IF(2&lt;5,0,IF(MAX(E39:F39)&gt;F44+0+$B$18,1,0))</f>
        <v>0</v>
      </c>
      <c r="G61" s="385" t="n">
        <f aca="false">IF(3&lt;5,0,IF(MAX(E39:G39)&gt;G44+0+$B$18,1,0))</f>
        <v>0</v>
      </c>
      <c r="H61" s="385" t="n">
        <f aca="false">IF(4&lt;5,0,IF(MAX(E39:H39)&gt;H44+0+$B$18,1,0))</f>
        <v>0</v>
      </c>
      <c r="I61" s="385" t="n">
        <f aca="false">IF(5&lt;5,0,IF(MAX(E39:I39)&gt;I44+0+$B$18,1,0))</f>
        <v>1</v>
      </c>
      <c r="J61" s="385" t="n">
        <f aca="false">IF(6&lt;5,0,IF(MAX(E39:J39)&gt;J44+0+$B$18,1,0))</f>
        <v>0</v>
      </c>
      <c r="K61" s="385" t="n">
        <f aca="false">IF(7&lt;5,0,IF(MAX(F39:K39)&gt;K44+0+$B$18,1,0))</f>
        <v>0</v>
      </c>
      <c r="L61" s="385" t="n">
        <f aca="false">IF(8&lt;5,0,IF(MAX(G39:L39)&gt;L44+0+$B$18,1,0))</f>
        <v>0</v>
      </c>
      <c r="M61" s="385" t="n">
        <f aca="false">IF(9&lt;5,0,IF(MAX(H39:M39)&gt;M44+0+$B$18,1,0))</f>
        <v>0</v>
      </c>
      <c r="N61" s="385" t="n">
        <f aca="false">IF(10&lt;5,0,IF(MAX(I39:N39)&gt;N44+0+$B$18,1,0))</f>
        <v>1</v>
      </c>
      <c r="O61" s="385" t="n">
        <f aca="false">IF(11&lt;5,0,IF(MAX(J39:O39)&gt;O44+0+$B$18,1,0))</f>
        <v>1</v>
      </c>
      <c r="P61" s="385" t="n">
        <f aca="false">IF(12&lt;5,0,IF(MAX(K39:P39)&gt;P44+0+$B$18,1,0))</f>
        <v>1</v>
      </c>
      <c r="Q61" s="385" t="n">
        <f aca="false">IF(13&lt;5,0,IF(MAX(L39:Q39)&gt;Q44+0+$B$18,1,0))</f>
        <v>1</v>
      </c>
      <c r="R61" s="385" t="n">
        <f aca="false">IF(14&lt;5,0,IF(MAX(M39:R39)&gt;R44+0+$B$18,1,0))</f>
        <v>1</v>
      </c>
      <c r="S61" s="385" t="n">
        <f aca="false">IF(15&lt;5,0,IF(MAX(N39:S39)&gt;S44+0+$B$18,1,0))</f>
        <v>1</v>
      </c>
      <c r="T61" s="385" t="n">
        <f aca="false">IF(16&lt;5,0,IF(MAX(O39:T39)&gt;T44+0+$B$18,1,0))</f>
        <v>1</v>
      </c>
      <c r="U61" s="385" t="n">
        <f aca="false">IF(17&lt;5,0,IF(MAX(P39:U39)&gt;U44+0+$B$18,1,0))</f>
        <v>1</v>
      </c>
      <c r="V61" s="385" t="n">
        <f aca="false">IF(18&lt;5,0,IF(MAX(Q39:V39)&gt;V44+0+$B$18,1,0))</f>
        <v>1</v>
      </c>
      <c r="W61" s="385" t="n">
        <f aca="false">IF(19&lt;5,0,IF(MAX(R39:W39)&gt;W44+0+$B$18,1,0))</f>
        <v>1</v>
      </c>
      <c r="X61" s="385" t="n">
        <f aca="false">IF(20&lt;5,0,IF(MAX(S39:X39)&gt;X44+0+$B$18,1,0))</f>
        <v>1</v>
      </c>
      <c r="Y61" s="385" t="n">
        <f aca="false">IF(21&lt;5,0,IF(MAX(T39:Y39)&gt;Y44+0+$B$18,1,0))</f>
        <v>1</v>
      </c>
      <c r="Z61" s="385" t="n">
        <f aca="false">IF(22&lt;5,0,IF(MAX(U39:Z39)&gt;Z44+0+$B$18,1,0))</f>
        <v>0</v>
      </c>
      <c r="AA61" s="385" t="n">
        <f aca="false">IF(23&lt;5,0,IF(MAX(V39:AA39)&gt;AA44+0+$B$18,1,0))</f>
        <v>0</v>
      </c>
      <c r="AB61" s="385" t="n">
        <f aca="false">IF(24&lt;5,0,IF(MAX(W39:AB39)&gt;AB44+0+$B$18,1,0))</f>
        <v>0</v>
      </c>
      <c r="AC61" s="385" t="n">
        <f aca="false">IF(25&lt;5,0,IF(MAX(X39:AC39)&gt;AC44+0+$B$18,1,0))</f>
        <v>0</v>
      </c>
      <c r="AD61" s="385" t="n">
        <f aca="false">IF(26&lt;5,0,IF(MAX(Y39:AD39)&gt;AD44+0+$B$18,1,0))</f>
        <v>0</v>
      </c>
      <c r="AE61" s="385" t="n">
        <f aca="false">IF(27&lt;5,0,IF(MAX(Z39:AE39)&gt;AE44+0+$B$18,1,0))</f>
        <v>0</v>
      </c>
      <c r="AF61" s="385" t="n">
        <f aca="false">IF(28&lt;5,0,IF(MAX(AA39:AF39)&gt;AF44+0+$B$18,1,0))</f>
        <v>0</v>
      </c>
      <c r="AG61" s="385" t="n">
        <f aca="false">IF(29&lt;5,0,IF(MAX(AB39:AG39)&gt;AG44+0+$B$18,1,0))</f>
        <v>0</v>
      </c>
      <c r="AH61" s="385" t="n">
        <f aca="false">IF(30&lt;5,0,IF(MAX(AC39:AH39)&gt;AH44+0+$B$18,1,0))</f>
        <v>0</v>
      </c>
      <c r="AI61" s="385" t="n">
        <f aca="false">IF(31&lt;5,0,IF(MAX(AD39:AI39)&gt;AI44+0+$B$18,1,0))</f>
        <v>0</v>
      </c>
      <c r="AJ61" s="385" t="n">
        <f aca="false">IF(32&lt;5,0,IF(MAX(AE39:AJ39)&gt;AJ44+0+$B$18,1,0))</f>
        <v>0</v>
      </c>
      <c r="AK61" s="385" t="n">
        <f aca="false">IF(33&lt;5,0,IF(MAX(AF39:AK39)&gt;AK44+0+$B$18,1,0))</f>
        <v>0</v>
      </c>
      <c r="AL61" s="385" t="n">
        <f aca="false">IF(34&lt;5,0,IF(MAX(AG39:AL39)&gt;AL44+0+$B$18,1,0))</f>
        <v>0</v>
      </c>
      <c r="AM61" s="385" t="n">
        <f aca="false">IF(35&lt;5,0,IF(MAX(AH39:AM39)&gt;AM44+0+$B$18,1,0))</f>
        <v>0</v>
      </c>
      <c r="AN61" s="385" t="n">
        <f aca="false">IF(36&lt;5,0,IF(MAX(AI39:AN39)&gt;AN44+0+$B$18,1,0))</f>
        <v>0</v>
      </c>
      <c r="AO61" s="385" t="n">
        <f aca="false">IF(37&lt;5,0,IF(MAX(AJ39:AO39)&gt;AO44+0+$B$18,1,0))</f>
        <v>0</v>
      </c>
      <c r="AP61" s="385" t="n">
        <f aca="false">IF(38&lt;5,0,IF(MAX(AK39:AP39)&gt;AP44+0+$B$18,1,0))</f>
        <v>0</v>
      </c>
      <c r="AQ61" s="385" t="n">
        <f aca="false">IF(39&lt;5,0,IF(MAX(AL39:AQ39)&gt;AQ44+0+$B$18,1,0))</f>
        <v>0</v>
      </c>
      <c r="AR61" s="385" t="n">
        <f aca="false">IF(40&lt;5,0,IF(MAX(AM39:AR39)&gt;AR44+0+$B$18,1,0))</f>
        <v>0</v>
      </c>
      <c r="AS61" s="385" t="n">
        <f aca="false">IF(41&lt;5,0,IF(MAX(AN39:AS39)&gt;AS44+0+$B$18,1,0))</f>
        <v>0</v>
      </c>
      <c r="AT61" s="385" t="n">
        <f aca="false">IF(42&lt;5,0,IF(MAX(AO39:AT39)&gt;AT44+0+$B$18,1,0))</f>
        <v>0</v>
      </c>
      <c r="AU61" s="385" t="n">
        <f aca="false">IF(43&lt;5,0,IF(MAX(AP39:AU39)&gt;AU44+0+$B$18,1,0))</f>
        <v>0</v>
      </c>
      <c r="AV61" s="385" t="n">
        <f aca="false">IF(44&lt;5,0,IF(MAX(AQ39:AV39)&gt;AV44+0+$B$18,1,0))</f>
        <v>0</v>
      </c>
      <c r="AW61" s="385" t="n">
        <f aca="false">IF(45&lt;5,0,IF(MAX(AR39:AW39)&gt;AW44+0+$B$18,1,0))</f>
        <v>0</v>
      </c>
      <c r="AX61" s="385" t="n">
        <f aca="false">IF(46&lt;5,0,IF(MAX(AS39:AX39)&gt;AX44+0+$B$18,1,0))</f>
        <v>0</v>
      </c>
      <c r="AY61" s="385" t="n">
        <f aca="false">IF(47&lt;5,0,IF(MAX(AT39:AY39)&gt;AY44+0+$B$18,1,0))</f>
        <v>0</v>
      </c>
      <c r="AZ61" s="385" t="n">
        <f aca="false">IF(48&lt;5,0,IF(MAX(AU39:AZ39)&gt;AZ44+0+$B$18,1,0))</f>
        <v>0</v>
      </c>
      <c r="BA61" s="385" t="n">
        <f aca="false">IF(49&lt;5,0,IF(MAX(AV39:BA39)&gt;BA44+0+$B$18,1,0))</f>
        <v>0</v>
      </c>
      <c r="BB61" s="385" t="n">
        <f aca="false">IF(50&lt;5,0,IF(MAX(AW39:BB39)&gt;BB44+0+$B$18,1,0))</f>
        <v>0</v>
      </c>
      <c r="BC61" s="385" t="n">
        <f aca="false">IF(51&lt;5,0,IF(MAX(AX39:BC39)&gt;BC44+0+$B$18,1,0))</f>
        <v>0</v>
      </c>
      <c r="BD61" s="385" t="n">
        <f aca="false">IF(52&lt;5,0,IF(MAX(AY39:BD39)&gt;BD44+0+$B$18,1,0))</f>
        <v>0</v>
      </c>
      <c r="BE61" s="385" t="n">
        <f aca="false">IF(53&lt;5,0,IF(MAX(AZ39:BE39)&gt;BE44+0+$B$18,1,0))</f>
        <v>0</v>
      </c>
      <c r="BF61" s="385" t="n">
        <f aca="false">IF(54&lt;5,0,IF(MAX(BA39:BF39)&gt;BF44+0+$B$18,1,0))</f>
        <v>0</v>
      </c>
      <c r="BG61" s="385" t="n">
        <f aca="false">IF(55&lt;5,0,IF(MAX(BB39:BG39)&gt;BG44+0+$B$18,1,0))</f>
        <v>0</v>
      </c>
      <c r="BH61" s="385" t="n">
        <f aca="false">IF(56&lt;5,0,IF(MAX(BC39:BH39)&gt;BH44+0+$B$18,1,0))</f>
        <v>0</v>
      </c>
      <c r="BI61" s="385" t="n">
        <f aca="false">IF(57&lt;5,0,IF(MAX(BD39:BI39)&gt;BI44+0+$B$18,1,0))</f>
        <v>0</v>
      </c>
      <c r="BJ61" s="385" t="n">
        <f aca="false">IF(58&lt;5,0,IF(MAX(BE39:BJ39)&gt;BJ44+0+$B$18,1,0))</f>
        <v>0</v>
      </c>
      <c r="BK61" s="385" t="n">
        <f aca="false">IF(59&lt;5,0,IF(MAX(BF39:BK39)&gt;BK44+0+$B$18,1,0))</f>
        <v>0</v>
      </c>
      <c r="BL61" s="385" t="n">
        <f aca="false">IF(60&lt;5,0,IF(MAX(BG39:BL39)&gt;BL44+0+$B$18,1,0))</f>
        <v>0</v>
      </c>
      <c r="BM61" s="385" t="n">
        <f aca="false">IF(61&lt;5,0,IF(MAX(BH39:BM39)&gt;BM44+0+$B$18,1,0))</f>
        <v>0</v>
      </c>
      <c r="BN61" s="385" t="n">
        <f aca="false">IF(62&lt;5,0,IF(MAX(BI39:BN39)&gt;BN44+0+$B$18,1,0))</f>
        <v>0</v>
      </c>
      <c r="BO61" s="385" t="n">
        <f aca="false">IF(63&lt;5,0,IF(MAX(BJ39:BO39)&gt;BO44+0+$B$18,1,0))</f>
        <v>0</v>
      </c>
      <c r="BP61" s="385" t="n">
        <f aca="false">IF(64&lt;5,0,IF(MAX(BK39:BP39)&gt;BP44+0+$B$18,1,0))</f>
        <v>0</v>
      </c>
      <c r="BQ61" s="385" t="n">
        <f aca="false">IF(65&lt;5,0,IF(MAX(BL39:BQ39)&gt;BQ44+0+$B$18,1,0))</f>
        <v>0</v>
      </c>
      <c r="BR61" s="385" t="n">
        <f aca="false">IF(66&lt;5,0,IF(MAX(BM39:BR39)&gt;BR44+0+$B$18,1,0))</f>
        <v>0</v>
      </c>
      <c r="BS61" s="385" t="n">
        <f aca="false">IF(67&lt;5,0,IF(MAX(BN39:BS39)&gt;BS44+0+$B$18,1,0))</f>
        <v>0</v>
      </c>
      <c r="BT61" s="385" t="n">
        <f aca="false">IF(68&lt;5,0,IF(MAX(BO39:BT39)&gt;BT44+0+$B$18,1,0))</f>
        <v>0</v>
      </c>
      <c r="BU61" s="385" t="n">
        <f aca="false">IF(69&lt;5,0,IF(MAX(BP39:BU39)&gt;BU44+0+$B$18,1,0))</f>
        <v>0</v>
      </c>
      <c r="BV61" s="385" t="n">
        <f aca="false">IF(70&lt;5,0,IF(MAX(BQ39:BV39)&gt;BV44+0+$B$18,1,0))</f>
        <v>0</v>
      </c>
      <c r="BW61" s="385" t="n">
        <f aca="false">IF(71&lt;5,0,IF(MAX(BR39:BW39)&gt;BW44+0+$B$18,1,0))</f>
        <v>0</v>
      </c>
      <c r="BX61" s="385" t="n">
        <f aca="false">IF(72&lt;5,0,IF(MAX(BS39:BX39)&gt;BX44+0+$B$18,1,0))</f>
        <v>0</v>
      </c>
      <c r="BY61" s="385" t="n">
        <f aca="false">IF(73&lt;5,0,IF(MAX(BT39:BY39)&gt;BY44+0+$B$18,1,0))</f>
        <v>0</v>
      </c>
      <c r="BZ61" s="385" t="n">
        <f aca="false">IF(74&lt;5,0,IF(MAX(BU39:BZ39)&gt;BZ44+0+$B$18,1,0))</f>
        <v>0</v>
      </c>
      <c r="CA61" s="385" t="n">
        <f aca="false">IF(75&lt;5,0,IF(MAX(BV39:CA39)&gt;CA44+0+$B$18,1,0))</f>
        <v>0</v>
      </c>
      <c r="CB61" s="385" t="n">
        <f aca="false">IF(76&lt;5,0,IF(MAX(BW39:CB39)&gt;CB44+0+$B$18,1,0))</f>
        <v>0</v>
      </c>
      <c r="CC61" s="385" t="n">
        <f aca="false">IF(77&lt;5,0,IF(MAX(BX39:CC39)&gt;CC44+0+$B$18,1,0))</f>
        <v>0</v>
      </c>
      <c r="CD61" s="385" t="n">
        <f aca="false">IF(78&lt;5,0,IF(MAX(BY39:CD39)&gt;CD44+0+$B$18,1,0))</f>
        <v>0</v>
      </c>
      <c r="CE61" s="385" t="n">
        <f aca="false">IF(79&lt;5,0,IF(MAX(BZ39:CE39)&gt;CE44+0+$B$18,1,0))</f>
        <v>0</v>
      </c>
      <c r="CF61" s="385" t="n">
        <f aca="false">IF(80&lt;5,0,IF(MAX(CA39:CF39)&gt;CF44+0+$B$18,1,0))</f>
        <v>0</v>
      </c>
      <c r="CG61" s="385" t="n">
        <f aca="false">IF(81&lt;5,0,IF(MAX(CB39:CG39)&gt;CG44+0+$B$18,1,0))</f>
        <v>0</v>
      </c>
      <c r="CH61" s="385" t="n">
        <f aca="false">IF(82&lt;5,0,IF(MAX(CC39:CH39)&gt;CH44+0+$B$18,1,0))</f>
        <v>0</v>
      </c>
      <c r="CI61" s="385" t="n">
        <f aca="false">IF(83&lt;5,0,IF(MAX(CD39:CI39)&gt;CI44+0+$B$18,1,0))</f>
        <v>0</v>
      </c>
      <c r="CJ61" s="385" t="n">
        <f aca="false">IF(84&lt;5,0,IF(MAX(CE39:CJ39)&gt;CJ44+0+$B$18,1,0))</f>
        <v>0</v>
      </c>
      <c r="CK61" s="385" t="n">
        <f aca="false">IF(85&lt;5,0,IF(MAX(CF39:CK39)&gt;CK44+0+$B$18,1,0))</f>
        <v>0</v>
      </c>
      <c r="CL61" s="385" t="n">
        <f aca="false">IF(86&lt;5,0,IF(MAX(CG39:CL39)&gt;CL44+0+$B$18,1,0))</f>
        <v>0</v>
      </c>
      <c r="CM61" s="385" t="n">
        <f aca="false">IF(87&lt;5,0,IF(MAX(CH39:CM39)&gt;CM44+0+$B$18,1,0))</f>
        <v>0</v>
      </c>
      <c r="CN61" s="385" t="n">
        <f aca="false">IF(88&lt;5,0,IF(MAX(CI39:CN39)&gt;CN44+0+$B$18,1,0))</f>
        <v>0</v>
      </c>
      <c r="CO61" s="385" t="n">
        <f aca="false">IF(89&lt;5,0,IF(MAX(CJ39:CO39)&gt;CO44+0+$B$18,1,0))</f>
        <v>0</v>
      </c>
      <c r="CP61" s="385" t="n">
        <f aca="false">IF(90&lt;5,0,IF(MAX(CK39:CP39)&gt;CP44+0+$B$18,1,0))</f>
        <v>0</v>
      </c>
      <c r="CQ61" s="385" t="n">
        <f aca="false">IF(91&lt;5,0,IF(MAX(CL39:CQ39)&gt;CQ44+0+$B$18,1,0))</f>
        <v>0</v>
      </c>
      <c r="CR61" s="385" t="n">
        <f aca="false">IF(92&lt;5,0,IF(MAX(CM39:CR39)&gt;CR44+0+$B$18,1,0))</f>
        <v>0</v>
      </c>
      <c r="CS61" s="385" t="n">
        <f aca="false">IF(93&lt;5,0,IF(MAX(CN39:CS39)&gt;CS44+0+$B$18,1,0))</f>
        <v>0</v>
      </c>
      <c r="CT61" s="385" t="n">
        <f aca="false">IF(94&lt;5,0,IF(MAX(CO39:CT39)&gt;CT44+0+$B$18,1,0))</f>
        <v>0</v>
      </c>
      <c r="CU61" s="385" t="n">
        <f aca="false">IF(95&lt;5,0,IF(MAX(CP39:CU39)&gt;CU44+0+$B$18,1,0))</f>
        <v>0</v>
      </c>
      <c r="CV61" s="385" t="n">
        <f aca="false">IF(96&lt;5,0,IF(MAX(CQ39:CV39)&gt;CV44+0+$B$18,1,0))</f>
        <v>0</v>
      </c>
      <c r="CW61" s="385" t="n">
        <f aca="false">IF(97&lt;5,0,IF(MAX(CR39:CW39)&gt;CW44+0+$B$18,1,0))</f>
        <v>0</v>
      </c>
      <c r="CX61" s="385" t="n">
        <f aca="false">IF(98&lt;5,0,IF(MAX(CS39:CX39)&gt;CX44+0+$B$18,1,0))</f>
        <v>0</v>
      </c>
      <c r="CY61" s="385" t="n">
        <f aca="false">IF(99&lt;5,0,IF(MAX(CT39:CY39)&gt;CY44+0+$B$18,1,0))</f>
        <v>0</v>
      </c>
      <c r="CZ61" s="385" t="n">
        <f aca="false">IF(100&lt;5,0,IF(MAX(CU39:CZ39)&gt;CZ44+0+$B$18,1,0))</f>
        <v>0</v>
      </c>
      <c r="DA61" s="385" t="n">
        <f aca="false">IF(101&lt;5,0,IF(MAX(CV39:DA39)&gt;DA44+0+$B$18,1,0))</f>
        <v>0</v>
      </c>
      <c r="DB61" s="385" t="n">
        <f aca="false">IF(102&lt;5,0,IF(MAX(CW39:DB39)&gt;DB44+0+$B$18,1,0))</f>
        <v>0</v>
      </c>
      <c r="DC61" s="385" t="n">
        <f aca="false">IF(103&lt;5,0,IF(MAX(CX39:DC39)&gt;DC44+0+$B$18,1,0))</f>
        <v>0</v>
      </c>
      <c r="DD61" s="385" t="n">
        <f aca="false">IF(104&lt;5,0,IF(MAX(CY39:DD39)&gt;DD44+0+$B$18,1,0))</f>
        <v>0</v>
      </c>
      <c r="DE61" s="385" t="n">
        <f aca="false">IF(105&lt;5,0,IF(MAX(CZ39:DE39)&gt;DE44+0+$B$18,1,0))</f>
        <v>0</v>
      </c>
    </row>
    <row r="62" customFormat="false" ht="13.5" hidden="false" customHeight="true" outlineLevel="0" collapsed="false">
      <c r="A62" s="110" t="s">
        <v>1396</v>
      </c>
      <c r="B62" s="213" t="n">
        <f aca="false">$B$28</f>
        <v>130000</v>
      </c>
      <c r="E62" s="385" t="n">
        <f aca="false">IF(1&lt;5,0,IF(MAX(E39)&gt;E44+1+$B$18,1,0))</f>
        <v>0</v>
      </c>
      <c r="F62" s="385" t="n">
        <f aca="false">IF(2&lt;5,0,IF(MAX(E39:F39)&gt;F44+1+$B$18,1,0))</f>
        <v>0</v>
      </c>
      <c r="G62" s="385" t="n">
        <f aca="false">IF(3&lt;5,0,IF(MAX(E39:G39)&gt;G44+1+$B$18,1,0))</f>
        <v>0</v>
      </c>
      <c r="H62" s="385" t="n">
        <f aca="false">IF(4&lt;5,0,IF(MAX(E39:H39)&gt;H44+1+$B$18,1,0))</f>
        <v>0</v>
      </c>
      <c r="I62" s="385" t="n">
        <f aca="false">IF(5&lt;5,0,IF(MAX(E39:I39)&gt;I44+1+$B$18,1,0))</f>
        <v>0</v>
      </c>
      <c r="J62" s="385" t="n">
        <f aca="false">IF(6&lt;5,0,IF(MAX(E39:J39)&gt;J44+1+$B$18,1,0))</f>
        <v>0</v>
      </c>
      <c r="K62" s="385" t="n">
        <f aca="false">IF(7&lt;5,0,IF(MAX(F39:K39)&gt;K44+1+$B$18,1,0))</f>
        <v>0</v>
      </c>
      <c r="L62" s="385" t="n">
        <f aca="false">IF(8&lt;5,0,IF(MAX(G39:L39)&gt;L44+1+$B$18,1,0))</f>
        <v>0</v>
      </c>
      <c r="M62" s="385" t="n">
        <f aca="false">IF(9&lt;5,0,IF(MAX(H39:M39)&gt;M44+1+$B$18,1,0))</f>
        <v>0</v>
      </c>
      <c r="N62" s="385" t="n">
        <f aca="false">IF(10&lt;5,0,IF(MAX(I39:N39)&gt;N44+1+$B$18,1,0))</f>
        <v>0</v>
      </c>
      <c r="O62" s="385" t="n">
        <f aca="false">IF(11&lt;5,0,IF(MAX(J39:O39)&gt;O44+1+$B$18,1,0))</f>
        <v>0</v>
      </c>
      <c r="P62" s="385" t="n">
        <f aca="false">IF(12&lt;5,0,IF(MAX(K39:P39)&gt;P44+1+$B$18,1,0))</f>
        <v>0</v>
      </c>
      <c r="Q62" s="385" t="n">
        <f aca="false">IF(13&lt;5,0,IF(MAX(L39:Q39)&gt;Q44+1+$B$18,1,0))</f>
        <v>0</v>
      </c>
      <c r="R62" s="385" t="n">
        <f aca="false">IF(14&lt;5,0,IF(MAX(M39:R39)&gt;R44+1+$B$18,1,0))</f>
        <v>0</v>
      </c>
      <c r="S62" s="385" t="n">
        <f aca="false">IF(15&lt;5,0,IF(MAX(N39:S39)&gt;S44+1+$B$18,1,0))</f>
        <v>0</v>
      </c>
      <c r="T62" s="385" t="n">
        <f aca="false">IF(16&lt;5,0,IF(MAX(O39:T39)&gt;T44+1+$B$18,1,0))</f>
        <v>0</v>
      </c>
      <c r="U62" s="385" t="n">
        <f aca="false">IF(17&lt;5,0,IF(MAX(P39:U39)&gt;U44+1+$B$18,1,0))</f>
        <v>0</v>
      </c>
      <c r="V62" s="385" t="n">
        <f aca="false">IF(18&lt;5,0,IF(MAX(Q39:V39)&gt;V44+1+$B$18,1,0))</f>
        <v>0</v>
      </c>
      <c r="W62" s="385" t="n">
        <f aca="false">IF(19&lt;5,0,IF(MAX(R39:W39)&gt;W44+1+$B$18,1,0))</f>
        <v>0</v>
      </c>
      <c r="X62" s="385" t="n">
        <f aca="false">IF(20&lt;5,0,IF(MAX(S39:X39)&gt;X44+1+$B$18,1,0))</f>
        <v>0</v>
      </c>
      <c r="Y62" s="385" t="n">
        <f aca="false">IF(21&lt;5,0,IF(MAX(T39:Y39)&gt;Y44+1+$B$18,1,0))</f>
        <v>0</v>
      </c>
      <c r="Z62" s="385" t="n">
        <f aca="false">IF(22&lt;5,0,IF(MAX(U39:Z39)&gt;Z44+1+$B$18,1,0))</f>
        <v>0</v>
      </c>
      <c r="AA62" s="385" t="n">
        <f aca="false">IF(23&lt;5,0,IF(MAX(V39:AA39)&gt;AA44+1+$B$18,1,0))</f>
        <v>0</v>
      </c>
      <c r="AB62" s="385" t="n">
        <f aca="false">IF(24&lt;5,0,IF(MAX(W39:AB39)&gt;AB44+1+$B$18,1,0))</f>
        <v>0</v>
      </c>
      <c r="AC62" s="385" t="n">
        <f aca="false">IF(25&lt;5,0,IF(MAX(X39:AC39)&gt;AC44+1+$B$18,1,0))</f>
        <v>0</v>
      </c>
      <c r="AD62" s="385" t="n">
        <f aca="false">IF(26&lt;5,0,IF(MAX(Y39:AD39)&gt;AD44+1+$B$18,1,0))</f>
        <v>0</v>
      </c>
      <c r="AE62" s="385" t="n">
        <f aca="false">IF(27&lt;5,0,IF(MAX(Z39:AE39)&gt;AE44+1+$B$18,1,0))</f>
        <v>0</v>
      </c>
      <c r="AF62" s="385" t="n">
        <f aca="false">IF(28&lt;5,0,IF(MAX(AA39:AF39)&gt;AF44+1+$B$18,1,0))</f>
        <v>0</v>
      </c>
      <c r="AG62" s="385" t="n">
        <f aca="false">IF(29&lt;5,0,IF(MAX(AB39:AG39)&gt;AG44+1+$B$18,1,0))</f>
        <v>0</v>
      </c>
      <c r="AH62" s="385" t="n">
        <f aca="false">IF(30&lt;5,0,IF(MAX(AC39:AH39)&gt;AH44+1+$B$18,1,0))</f>
        <v>0</v>
      </c>
      <c r="AI62" s="385" t="n">
        <f aca="false">IF(31&lt;5,0,IF(MAX(AD39:AI39)&gt;AI44+1+$B$18,1,0))</f>
        <v>0</v>
      </c>
      <c r="AJ62" s="385" t="n">
        <f aca="false">IF(32&lt;5,0,IF(MAX(AE39:AJ39)&gt;AJ44+1+$B$18,1,0))</f>
        <v>0</v>
      </c>
      <c r="AK62" s="385" t="n">
        <f aca="false">IF(33&lt;5,0,IF(MAX(AF39:AK39)&gt;AK44+1+$B$18,1,0))</f>
        <v>0</v>
      </c>
      <c r="AL62" s="385" t="n">
        <f aca="false">IF(34&lt;5,0,IF(MAX(AG39:AL39)&gt;AL44+1+$B$18,1,0))</f>
        <v>0</v>
      </c>
      <c r="AM62" s="385" t="n">
        <f aca="false">IF(35&lt;5,0,IF(MAX(AH39:AM39)&gt;AM44+1+$B$18,1,0))</f>
        <v>0</v>
      </c>
      <c r="AN62" s="385" t="n">
        <f aca="false">IF(36&lt;5,0,IF(MAX(AI39:AN39)&gt;AN44+1+$B$18,1,0))</f>
        <v>0</v>
      </c>
      <c r="AO62" s="385" t="n">
        <f aca="false">IF(37&lt;5,0,IF(MAX(AJ39:AO39)&gt;AO44+1+$B$18,1,0))</f>
        <v>0</v>
      </c>
      <c r="AP62" s="385" t="n">
        <f aca="false">IF(38&lt;5,0,IF(MAX(AK39:AP39)&gt;AP44+1+$B$18,1,0))</f>
        <v>0</v>
      </c>
      <c r="AQ62" s="385" t="n">
        <f aca="false">IF(39&lt;5,0,IF(MAX(AL39:AQ39)&gt;AQ44+1+$B$18,1,0))</f>
        <v>0</v>
      </c>
      <c r="AR62" s="385" t="n">
        <f aca="false">IF(40&lt;5,0,IF(MAX(AM39:AR39)&gt;AR44+1+$B$18,1,0))</f>
        <v>0</v>
      </c>
      <c r="AS62" s="385" t="n">
        <f aca="false">IF(41&lt;5,0,IF(MAX(AN39:AS39)&gt;AS44+1+$B$18,1,0))</f>
        <v>0</v>
      </c>
      <c r="AT62" s="385" t="n">
        <f aca="false">IF(42&lt;5,0,IF(MAX(AO39:AT39)&gt;AT44+1+$B$18,1,0))</f>
        <v>0</v>
      </c>
      <c r="AU62" s="385" t="n">
        <f aca="false">IF(43&lt;5,0,IF(MAX(AP39:AU39)&gt;AU44+1+$B$18,1,0))</f>
        <v>0</v>
      </c>
      <c r="AV62" s="385" t="n">
        <f aca="false">IF(44&lt;5,0,IF(MAX(AQ39:AV39)&gt;AV44+1+$B$18,1,0))</f>
        <v>0</v>
      </c>
      <c r="AW62" s="385" t="n">
        <f aca="false">IF(45&lt;5,0,IF(MAX(AR39:AW39)&gt;AW44+1+$B$18,1,0))</f>
        <v>0</v>
      </c>
      <c r="AX62" s="385" t="n">
        <f aca="false">IF(46&lt;5,0,IF(MAX(AS39:AX39)&gt;AX44+1+$B$18,1,0))</f>
        <v>0</v>
      </c>
      <c r="AY62" s="385" t="n">
        <f aca="false">IF(47&lt;5,0,IF(MAX(AT39:AY39)&gt;AY44+1+$B$18,1,0))</f>
        <v>0</v>
      </c>
      <c r="AZ62" s="385" t="n">
        <f aca="false">IF(48&lt;5,0,IF(MAX(AU39:AZ39)&gt;AZ44+1+$B$18,1,0))</f>
        <v>0</v>
      </c>
      <c r="BA62" s="385" t="n">
        <f aca="false">IF(49&lt;5,0,IF(MAX(AV39:BA39)&gt;BA44+1+$B$18,1,0))</f>
        <v>0</v>
      </c>
      <c r="BB62" s="385" t="n">
        <f aca="false">IF(50&lt;5,0,IF(MAX(AW39:BB39)&gt;BB44+1+$B$18,1,0))</f>
        <v>0</v>
      </c>
      <c r="BC62" s="385" t="n">
        <f aca="false">IF(51&lt;5,0,IF(MAX(AX39:BC39)&gt;BC44+1+$B$18,1,0))</f>
        <v>0</v>
      </c>
      <c r="BD62" s="385" t="n">
        <f aca="false">IF(52&lt;5,0,IF(MAX(AY39:BD39)&gt;BD44+1+$B$18,1,0))</f>
        <v>0</v>
      </c>
      <c r="BE62" s="385" t="n">
        <f aca="false">IF(53&lt;5,0,IF(MAX(AZ39:BE39)&gt;BE44+1+$B$18,1,0))</f>
        <v>0</v>
      </c>
      <c r="BF62" s="385" t="n">
        <f aca="false">IF(54&lt;5,0,IF(MAX(BA39:BF39)&gt;BF44+1+$B$18,1,0))</f>
        <v>0</v>
      </c>
      <c r="BG62" s="385" t="n">
        <f aca="false">IF(55&lt;5,0,IF(MAX(BB39:BG39)&gt;BG44+1+$B$18,1,0))</f>
        <v>0</v>
      </c>
      <c r="BH62" s="385" t="n">
        <f aca="false">IF(56&lt;5,0,IF(MAX(BC39:BH39)&gt;BH44+1+$B$18,1,0))</f>
        <v>0</v>
      </c>
      <c r="BI62" s="385" t="n">
        <f aca="false">IF(57&lt;5,0,IF(MAX(BD39:BI39)&gt;BI44+1+$B$18,1,0))</f>
        <v>0</v>
      </c>
      <c r="BJ62" s="385" t="n">
        <f aca="false">IF(58&lt;5,0,IF(MAX(BE39:BJ39)&gt;BJ44+1+$B$18,1,0))</f>
        <v>0</v>
      </c>
      <c r="BK62" s="385" t="n">
        <f aca="false">IF(59&lt;5,0,IF(MAX(BF39:BK39)&gt;BK44+1+$B$18,1,0))</f>
        <v>0</v>
      </c>
      <c r="BL62" s="385" t="n">
        <f aca="false">IF(60&lt;5,0,IF(MAX(BG39:BL39)&gt;BL44+1+$B$18,1,0))</f>
        <v>0</v>
      </c>
      <c r="BM62" s="385" t="n">
        <f aca="false">IF(61&lt;5,0,IF(MAX(BH39:BM39)&gt;BM44+1+$B$18,1,0))</f>
        <v>0</v>
      </c>
      <c r="BN62" s="385" t="n">
        <f aca="false">IF(62&lt;5,0,IF(MAX(BI39:BN39)&gt;BN44+1+$B$18,1,0))</f>
        <v>0</v>
      </c>
      <c r="BO62" s="385" t="n">
        <f aca="false">IF(63&lt;5,0,IF(MAX(BJ39:BO39)&gt;BO44+1+$B$18,1,0))</f>
        <v>0</v>
      </c>
      <c r="BP62" s="385" t="n">
        <f aca="false">IF(64&lt;5,0,IF(MAX(BK39:BP39)&gt;BP44+1+$B$18,1,0))</f>
        <v>0</v>
      </c>
      <c r="BQ62" s="385" t="n">
        <f aca="false">IF(65&lt;5,0,IF(MAX(BL39:BQ39)&gt;BQ44+1+$B$18,1,0))</f>
        <v>0</v>
      </c>
      <c r="BR62" s="385" t="n">
        <f aca="false">IF(66&lt;5,0,IF(MAX(BM39:BR39)&gt;BR44+1+$B$18,1,0))</f>
        <v>0</v>
      </c>
      <c r="BS62" s="385" t="n">
        <f aca="false">IF(67&lt;5,0,IF(MAX(BN39:BS39)&gt;BS44+1+$B$18,1,0))</f>
        <v>0</v>
      </c>
      <c r="BT62" s="385" t="n">
        <f aca="false">IF(68&lt;5,0,IF(MAX(BO39:BT39)&gt;BT44+1+$B$18,1,0))</f>
        <v>0</v>
      </c>
      <c r="BU62" s="385" t="n">
        <f aca="false">IF(69&lt;5,0,IF(MAX(BP39:BU39)&gt;BU44+1+$B$18,1,0))</f>
        <v>0</v>
      </c>
      <c r="BV62" s="385" t="n">
        <f aca="false">IF(70&lt;5,0,IF(MAX(BQ39:BV39)&gt;BV44+1+$B$18,1,0))</f>
        <v>0</v>
      </c>
      <c r="BW62" s="385" t="n">
        <f aca="false">IF(71&lt;5,0,IF(MAX(BR39:BW39)&gt;BW44+1+$B$18,1,0))</f>
        <v>0</v>
      </c>
      <c r="BX62" s="385" t="n">
        <f aca="false">IF(72&lt;5,0,IF(MAX(BS39:BX39)&gt;BX44+1+$B$18,1,0))</f>
        <v>0</v>
      </c>
      <c r="BY62" s="385" t="n">
        <f aca="false">IF(73&lt;5,0,IF(MAX(BT39:BY39)&gt;BY44+1+$B$18,1,0))</f>
        <v>0</v>
      </c>
      <c r="BZ62" s="385" t="n">
        <f aca="false">IF(74&lt;5,0,IF(MAX(BU39:BZ39)&gt;BZ44+1+$B$18,1,0))</f>
        <v>0</v>
      </c>
      <c r="CA62" s="385" t="n">
        <f aca="false">IF(75&lt;5,0,IF(MAX(BV39:CA39)&gt;CA44+1+$B$18,1,0))</f>
        <v>0</v>
      </c>
      <c r="CB62" s="385" t="n">
        <f aca="false">IF(76&lt;5,0,IF(MAX(BW39:CB39)&gt;CB44+1+$B$18,1,0))</f>
        <v>0</v>
      </c>
      <c r="CC62" s="385" t="n">
        <f aca="false">IF(77&lt;5,0,IF(MAX(BX39:CC39)&gt;CC44+1+$B$18,1,0))</f>
        <v>0</v>
      </c>
      <c r="CD62" s="385" t="n">
        <f aca="false">IF(78&lt;5,0,IF(MAX(BY39:CD39)&gt;CD44+1+$B$18,1,0))</f>
        <v>0</v>
      </c>
      <c r="CE62" s="385" t="n">
        <f aca="false">IF(79&lt;5,0,IF(MAX(BZ39:CE39)&gt;CE44+1+$B$18,1,0))</f>
        <v>0</v>
      </c>
      <c r="CF62" s="385" t="n">
        <f aca="false">IF(80&lt;5,0,IF(MAX(CA39:CF39)&gt;CF44+1+$B$18,1,0))</f>
        <v>0</v>
      </c>
      <c r="CG62" s="385" t="n">
        <f aca="false">IF(81&lt;5,0,IF(MAX(CB39:CG39)&gt;CG44+1+$B$18,1,0))</f>
        <v>0</v>
      </c>
      <c r="CH62" s="385" t="n">
        <f aca="false">IF(82&lt;5,0,IF(MAX(CC39:CH39)&gt;CH44+1+$B$18,1,0))</f>
        <v>0</v>
      </c>
      <c r="CI62" s="385" t="n">
        <f aca="false">IF(83&lt;5,0,IF(MAX(CD39:CI39)&gt;CI44+1+$B$18,1,0))</f>
        <v>0</v>
      </c>
      <c r="CJ62" s="385" t="n">
        <f aca="false">IF(84&lt;5,0,IF(MAX(CE39:CJ39)&gt;CJ44+1+$B$18,1,0))</f>
        <v>0</v>
      </c>
      <c r="CK62" s="385" t="n">
        <f aca="false">IF(85&lt;5,0,IF(MAX(CF39:CK39)&gt;CK44+1+$B$18,1,0))</f>
        <v>0</v>
      </c>
      <c r="CL62" s="385" t="n">
        <f aca="false">IF(86&lt;5,0,IF(MAX(CG39:CL39)&gt;CL44+1+$B$18,1,0))</f>
        <v>0</v>
      </c>
      <c r="CM62" s="385" t="n">
        <f aca="false">IF(87&lt;5,0,IF(MAX(CH39:CM39)&gt;CM44+1+$B$18,1,0))</f>
        <v>0</v>
      </c>
      <c r="CN62" s="385" t="n">
        <f aca="false">IF(88&lt;5,0,IF(MAX(CI39:CN39)&gt;CN44+1+$B$18,1,0))</f>
        <v>0</v>
      </c>
      <c r="CO62" s="385" t="n">
        <f aca="false">IF(89&lt;5,0,IF(MAX(CJ39:CO39)&gt;CO44+1+$B$18,1,0))</f>
        <v>0</v>
      </c>
      <c r="CP62" s="385" t="n">
        <f aca="false">IF(90&lt;5,0,IF(MAX(CK39:CP39)&gt;CP44+1+$B$18,1,0))</f>
        <v>0</v>
      </c>
      <c r="CQ62" s="385" t="n">
        <f aca="false">IF(91&lt;5,0,IF(MAX(CL39:CQ39)&gt;CQ44+1+$B$18,1,0))</f>
        <v>0</v>
      </c>
      <c r="CR62" s="385" t="n">
        <f aca="false">IF(92&lt;5,0,IF(MAX(CM39:CR39)&gt;CR44+1+$B$18,1,0))</f>
        <v>0</v>
      </c>
      <c r="CS62" s="385" t="n">
        <f aca="false">IF(93&lt;5,0,IF(MAX(CN39:CS39)&gt;CS44+1+$B$18,1,0))</f>
        <v>0</v>
      </c>
      <c r="CT62" s="385" t="n">
        <f aca="false">IF(94&lt;5,0,IF(MAX(CO39:CT39)&gt;CT44+1+$B$18,1,0))</f>
        <v>0</v>
      </c>
      <c r="CU62" s="385" t="n">
        <f aca="false">IF(95&lt;5,0,IF(MAX(CP39:CU39)&gt;CU44+1+$B$18,1,0))</f>
        <v>0</v>
      </c>
      <c r="CV62" s="385" t="n">
        <f aca="false">IF(96&lt;5,0,IF(MAX(CQ39:CV39)&gt;CV44+1+$B$18,1,0))</f>
        <v>0</v>
      </c>
      <c r="CW62" s="385" t="n">
        <f aca="false">IF(97&lt;5,0,IF(MAX(CR39:CW39)&gt;CW44+1+$B$18,1,0))</f>
        <v>0</v>
      </c>
      <c r="CX62" s="385" t="n">
        <f aca="false">IF(98&lt;5,0,IF(MAX(CS39:CX39)&gt;CX44+1+$B$18,1,0))</f>
        <v>0</v>
      </c>
      <c r="CY62" s="385" t="n">
        <f aca="false">IF(99&lt;5,0,IF(MAX(CT39:CY39)&gt;CY44+1+$B$18,1,0))</f>
        <v>0</v>
      </c>
      <c r="CZ62" s="385" t="n">
        <f aca="false">IF(100&lt;5,0,IF(MAX(CU39:CZ39)&gt;CZ44+1+$B$18,1,0))</f>
        <v>0</v>
      </c>
      <c r="DA62" s="385" t="n">
        <f aca="false">IF(101&lt;5,0,IF(MAX(CV39:DA39)&gt;DA44+1+$B$18,1,0))</f>
        <v>0</v>
      </c>
      <c r="DB62" s="385" t="n">
        <f aca="false">IF(102&lt;5,0,IF(MAX(CW39:DB39)&gt;DB44+1+$B$18,1,0))</f>
        <v>0</v>
      </c>
      <c r="DC62" s="385" t="n">
        <f aca="false">IF(103&lt;5,0,IF(MAX(CX39:DC39)&gt;DC44+1+$B$18,1,0))</f>
        <v>0</v>
      </c>
      <c r="DD62" s="385" t="n">
        <f aca="false">IF(104&lt;5,0,IF(MAX(CY39:DD39)&gt;DD44+1+$B$18,1,0))</f>
        <v>0</v>
      </c>
      <c r="DE62" s="385" t="n">
        <f aca="false">IF(105&lt;5,0,IF(MAX(CZ39:DE39)&gt;DE44+1+$B$18,1,0))</f>
        <v>0</v>
      </c>
    </row>
    <row r="63" customFormat="false" ht="13.5" hidden="false" customHeight="true" outlineLevel="0" collapsed="false">
      <c r="A63" s="110" t="s">
        <v>1397</v>
      </c>
      <c r="B63" s="213" t="n">
        <f aca="false">$B$28</f>
        <v>130000</v>
      </c>
      <c r="E63" s="385" t="n">
        <f aca="false">IF(1&lt;5,0,IF(MAX(E39)&gt;E44+2+$B$18,1,0))</f>
        <v>0</v>
      </c>
      <c r="F63" s="385" t="n">
        <f aca="false">IF(2&lt;5,0,IF(MAX(E39:F39)&gt;F44+2+$B$18,1,0))</f>
        <v>0</v>
      </c>
      <c r="G63" s="385" t="n">
        <f aca="false">IF(3&lt;5,0,IF(MAX(E39:G39)&gt;G44+2+$B$18,1,0))</f>
        <v>0</v>
      </c>
      <c r="H63" s="385" t="n">
        <f aca="false">IF(4&lt;5,0,IF(MAX(E39:H39)&gt;H44+2+$B$18,1,0))</f>
        <v>0</v>
      </c>
      <c r="I63" s="385" t="n">
        <f aca="false">IF(5&lt;5,0,IF(MAX(E39:I39)&gt;I44+2+$B$18,1,0))</f>
        <v>0</v>
      </c>
      <c r="J63" s="385" t="n">
        <f aca="false">IF(6&lt;5,0,IF(MAX(E39:J39)&gt;J44+2+$B$18,1,0))</f>
        <v>0</v>
      </c>
      <c r="K63" s="385" t="n">
        <f aca="false">IF(7&lt;5,0,IF(MAX(F39:K39)&gt;K44+2+$B$18,1,0))</f>
        <v>0</v>
      </c>
      <c r="L63" s="385" t="n">
        <f aca="false">IF(8&lt;5,0,IF(MAX(G39:L39)&gt;L44+2+$B$18,1,0))</f>
        <v>0</v>
      </c>
      <c r="M63" s="385" t="n">
        <f aca="false">IF(9&lt;5,0,IF(MAX(H39:M39)&gt;M44+2+$B$18,1,0))</f>
        <v>0</v>
      </c>
      <c r="N63" s="385" t="n">
        <f aca="false">IF(10&lt;5,0,IF(MAX(I39:N39)&gt;N44+2+$B$18,1,0))</f>
        <v>0</v>
      </c>
      <c r="O63" s="385" t="n">
        <f aca="false">IF(11&lt;5,0,IF(MAX(J39:O39)&gt;O44+2+$B$18,1,0))</f>
        <v>0</v>
      </c>
      <c r="P63" s="385" t="n">
        <f aca="false">IF(12&lt;5,0,IF(MAX(K39:P39)&gt;P44+2+$B$18,1,0))</f>
        <v>0</v>
      </c>
      <c r="Q63" s="385" t="n">
        <f aca="false">IF(13&lt;5,0,IF(MAX(L39:Q39)&gt;Q44+2+$B$18,1,0))</f>
        <v>0</v>
      </c>
      <c r="R63" s="385" t="n">
        <f aca="false">IF(14&lt;5,0,IF(MAX(M39:R39)&gt;R44+2+$B$18,1,0))</f>
        <v>0</v>
      </c>
      <c r="S63" s="385" t="n">
        <f aca="false">IF(15&lt;5,0,IF(MAX(N39:S39)&gt;S44+2+$B$18,1,0))</f>
        <v>0</v>
      </c>
      <c r="T63" s="385" t="n">
        <f aca="false">IF(16&lt;5,0,IF(MAX(O39:T39)&gt;T44+2+$B$18,1,0))</f>
        <v>0</v>
      </c>
      <c r="U63" s="385" t="n">
        <f aca="false">IF(17&lt;5,0,IF(MAX(P39:U39)&gt;U44+2+$B$18,1,0))</f>
        <v>0</v>
      </c>
      <c r="V63" s="385" t="n">
        <f aca="false">IF(18&lt;5,0,IF(MAX(Q39:V39)&gt;V44+2+$B$18,1,0))</f>
        <v>0</v>
      </c>
      <c r="W63" s="385" t="n">
        <f aca="false">IF(19&lt;5,0,IF(MAX(R39:W39)&gt;W44+2+$B$18,1,0))</f>
        <v>0</v>
      </c>
      <c r="X63" s="385" t="n">
        <f aca="false">IF(20&lt;5,0,IF(MAX(S39:X39)&gt;X44+2+$B$18,1,0))</f>
        <v>0</v>
      </c>
      <c r="Y63" s="385" t="n">
        <f aca="false">IF(21&lt;5,0,IF(MAX(T39:Y39)&gt;Y44+2+$B$18,1,0))</f>
        <v>0</v>
      </c>
      <c r="Z63" s="385" t="n">
        <f aca="false">IF(22&lt;5,0,IF(MAX(U39:Z39)&gt;Z44+2+$B$18,1,0))</f>
        <v>0</v>
      </c>
      <c r="AA63" s="385" t="n">
        <f aca="false">IF(23&lt;5,0,IF(MAX(V39:AA39)&gt;AA44+2+$B$18,1,0))</f>
        <v>0</v>
      </c>
      <c r="AB63" s="385" t="n">
        <f aca="false">IF(24&lt;5,0,IF(MAX(W39:AB39)&gt;AB44+2+$B$18,1,0))</f>
        <v>0</v>
      </c>
      <c r="AC63" s="385" t="n">
        <f aca="false">IF(25&lt;5,0,IF(MAX(X39:AC39)&gt;AC44+2+$B$18,1,0))</f>
        <v>0</v>
      </c>
      <c r="AD63" s="385" t="n">
        <f aca="false">IF(26&lt;5,0,IF(MAX(Y39:AD39)&gt;AD44+2+$B$18,1,0))</f>
        <v>0</v>
      </c>
      <c r="AE63" s="385" t="n">
        <f aca="false">IF(27&lt;5,0,IF(MAX(Z39:AE39)&gt;AE44+2+$B$18,1,0))</f>
        <v>0</v>
      </c>
      <c r="AF63" s="385" t="n">
        <f aca="false">IF(28&lt;5,0,IF(MAX(AA39:AF39)&gt;AF44+2+$B$18,1,0))</f>
        <v>0</v>
      </c>
      <c r="AG63" s="385" t="n">
        <f aca="false">IF(29&lt;5,0,IF(MAX(AB39:AG39)&gt;AG44+2+$B$18,1,0))</f>
        <v>0</v>
      </c>
      <c r="AH63" s="385" t="n">
        <f aca="false">IF(30&lt;5,0,IF(MAX(AC39:AH39)&gt;AH44+2+$B$18,1,0))</f>
        <v>0</v>
      </c>
      <c r="AI63" s="385" t="n">
        <f aca="false">IF(31&lt;5,0,IF(MAX(AD39:AI39)&gt;AI44+2+$B$18,1,0))</f>
        <v>0</v>
      </c>
      <c r="AJ63" s="385" t="n">
        <f aca="false">IF(32&lt;5,0,IF(MAX(AE39:AJ39)&gt;AJ44+2+$B$18,1,0))</f>
        <v>0</v>
      </c>
      <c r="AK63" s="385" t="n">
        <f aca="false">IF(33&lt;5,0,IF(MAX(AF39:AK39)&gt;AK44+2+$B$18,1,0))</f>
        <v>0</v>
      </c>
      <c r="AL63" s="385" t="n">
        <f aca="false">IF(34&lt;5,0,IF(MAX(AG39:AL39)&gt;AL44+2+$B$18,1,0))</f>
        <v>0</v>
      </c>
      <c r="AM63" s="385" t="n">
        <f aca="false">IF(35&lt;5,0,IF(MAX(AH39:AM39)&gt;AM44+2+$B$18,1,0))</f>
        <v>0</v>
      </c>
      <c r="AN63" s="385" t="n">
        <f aca="false">IF(36&lt;5,0,IF(MAX(AI39:AN39)&gt;AN44+2+$B$18,1,0))</f>
        <v>0</v>
      </c>
      <c r="AO63" s="385" t="n">
        <f aca="false">IF(37&lt;5,0,IF(MAX(AJ39:AO39)&gt;AO44+2+$B$18,1,0))</f>
        <v>0</v>
      </c>
      <c r="AP63" s="385" t="n">
        <f aca="false">IF(38&lt;5,0,IF(MAX(AK39:AP39)&gt;AP44+2+$B$18,1,0))</f>
        <v>0</v>
      </c>
      <c r="AQ63" s="385" t="n">
        <f aca="false">IF(39&lt;5,0,IF(MAX(AL39:AQ39)&gt;AQ44+2+$B$18,1,0))</f>
        <v>0</v>
      </c>
      <c r="AR63" s="385" t="n">
        <f aca="false">IF(40&lt;5,0,IF(MAX(AM39:AR39)&gt;AR44+2+$B$18,1,0))</f>
        <v>0</v>
      </c>
      <c r="AS63" s="385" t="n">
        <f aca="false">IF(41&lt;5,0,IF(MAX(AN39:AS39)&gt;AS44+2+$B$18,1,0))</f>
        <v>0</v>
      </c>
      <c r="AT63" s="385" t="n">
        <f aca="false">IF(42&lt;5,0,IF(MAX(AO39:AT39)&gt;AT44+2+$B$18,1,0))</f>
        <v>0</v>
      </c>
      <c r="AU63" s="385" t="n">
        <f aca="false">IF(43&lt;5,0,IF(MAX(AP39:AU39)&gt;AU44+2+$B$18,1,0))</f>
        <v>0</v>
      </c>
      <c r="AV63" s="385" t="n">
        <f aca="false">IF(44&lt;5,0,IF(MAX(AQ39:AV39)&gt;AV44+2+$B$18,1,0))</f>
        <v>0</v>
      </c>
      <c r="AW63" s="385" t="n">
        <f aca="false">IF(45&lt;5,0,IF(MAX(AR39:AW39)&gt;AW44+2+$B$18,1,0))</f>
        <v>0</v>
      </c>
      <c r="AX63" s="385" t="n">
        <f aca="false">IF(46&lt;5,0,IF(MAX(AS39:AX39)&gt;AX44+2+$B$18,1,0))</f>
        <v>0</v>
      </c>
      <c r="AY63" s="385" t="n">
        <f aca="false">IF(47&lt;5,0,IF(MAX(AT39:AY39)&gt;AY44+2+$B$18,1,0))</f>
        <v>0</v>
      </c>
      <c r="AZ63" s="385" t="n">
        <f aca="false">IF(48&lt;5,0,IF(MAX(AU39:AZ39)&gt;AZ44+2+$B$18,1,0))</f>
        <v>0</v>
      </c>
      <c r="BA63" s="385" t="n">
        <f aca="false">IF(49&lt;5,0,IF(MAX(AV39:BA39)&gt;BA44+2+$B$18,1,0))</f>
        <v>0</v>
      </c>
      <c r="BB63" s="385" t="n">
        <f aca="false">IF(50&lt;5,0,IF(MAX(AW39:BB39)&gt;BB44+2+$B$18,1,0))</f>
        <v>0</v>
      </c>
      <c r="BC63" s="385" t="n">
        <f aca="false">IF(51&lt;5,0,IF(MAX(AX39:BC39)&gt;BC44+2+$B$18,1,0))</f>
        <v>0</v>
      </c>
      <c r="BD63" s="385" t="n">
        <f aca="false">IF(52&lt;5,0,IF(MAX(AY39:BD39)&gt;BD44+2+$B$18,1,0))</f>
        <v>0</v>
      </c>
      <c r="BE63" s="385" t="n">
        <f aca="false">IF(53&lt;5,0,IF(MAX(AZ39:BE39)&gt;BE44+2+$B$18,1,0))</f>
        <v>0</v>
      </c>
      <c r="BF63" s="385" t="n">
        <f aca="false">IF(54&lt;5,0,IF(MAX(BA39:BF39)&gt;BF44+2+$B$18,1,0))</f>
        <v>0</v>
      </c>
      <c r="BG63" s="385" t="n">
        <f aca="false">IF(55&lt;5,0,IF(MAX(BB39:BG39)&gt;BG44+2+$B$18,1,0))</f>
        <v>0</v>
      </c>
      <c r="BH63" s="385" t="n">
        <f aca="false">IF(56&lt;5,0,IF(MAX(BC39:BH39)&gt;BH44+2+$B$18,1,0))</f>
        <v>0</v>
      </c>
      <c r="BI63" s="385" t="n">
        <f aca="false">IF(57&lt;5,0,IF(MAX(BD39:BI39)&gt;BI44+2+$B$18,1,0))</f>
        <v>0</v>
      </c>
      <c r="BJ63" s="385" t="n">
        <f aca="false">IF(58&lt;5,0,IF(MAX(BE39:BJ39)&gt;BJ44+2+$B$18,1,0))</f>
        <v>0</v>
      </c>
      <c r="BK63" s="385" t="n">
        <f aca="false">IF(59&lt;5,0,IF(MAX(BF39:BK39)&gt;BK44+2+$B$18,1,0))</f>
        <v>0</v>
      </c>
      <c r="BL63" s="385" t="n">
        <f aca="false">IF(60&lt;5,0,IF(MAX(BG39:BL39)&gt;BL44+2+$B$18,1,0))</f>
        <v>0</v>
      </c>
      <c r="BM63" s="385" t="n">
        <f aca="false">IF(61&lt;5,0,IF(MAX(BH39:BM39)&gt;BM44+2+$B$18,1,0))</f>
        <v>0</v>
      </c>
      <c r="BN63" s="385" t="n">
        <f aca="false">IF(62&lt;5,0,IF(MAX(BI39:BN39)&gt;BN44+2+$B$18,1,0))</f>
        <v>0</v>
      </c>
      <c r="BO63" s="385" t="n">
        <f aca="false">IF(63&lt;5,0,IF(MAX(BJ39:BO39)&gt;BO44+2+$B$18,1,0))</f>
        <v>0</v>
      </c>
      <c r="BP63" s="385" t="n">
        <f aca="false">IF(64&lt;5,0,IF(MAX(BK39:BP39)&gt;BP44+2+$B$18,1,0))</f>
        <v>0</v>
      </c>
      <c r="BQ63" s="385" t="n">
        <f aca="false">IF(65&lt;5,0,IF(MAX(BL39:BQ39)&gt;BQ44+2+$B$18,1,0))</f>
        <v>0</v>
      </c>
      <c r="BR63" s="385" t="n">
        <f aca="false">IF(66&lt;5,0,IF(MAX(BM39:BR39)&gt;BR44+2+$B$18,1,0))</f>
        <v>0</v>
      </c>
      <c r="BS63" s="385" t="n">
        <f aca="false">IF(67&lt;5,0,IF(MAX(BN39:BS39)&gt;BS44+2+$B$18,1,0))</f>
        <v>0</v>
      </c>
      <c r="BT63" s="385" t="n">
        <f aca="false">IF(68&lt;5,0,IF(MAX(BO39:BT39)&gt;BT44+2+$B$18,1,0))</f>
        <v>0</v>
      </c>
      <c r="BU63" s="385" t="n">
        <f aca="false">IF(69&lt;5,0,IF(MAX(BP39:BU39)&gt;BU44+2+$B$18,1,0))</f>
        <v>0</v>
      </c>
      <c r="BV63" s="385" t="n">
        <f aca="false">IF(70&lt;5,0,IF(MAX(BQ39:BV39)&gt;BV44+2+$B$18,1,0))</f>
        <v>0</v>
      </c>
      <c r="BW63" s="385" t="n">
        <f aca="false">IF(71&lt;5,0,IF(MAX(BR39:BW39)&gt;BW44+2+$B$18,1,0))</f>
        <v>0</v>
      </c>
      <c r="BX63" s="385" t="n">
        <f aca="false">IF(72&lt;5,0,IF(MAX(BS39:BX39)&gt;BX44+2+$B$18,1,0))</f>
        <v>0</v>
      </c>
      <c r="BY63" s="385" t="n">
        <f aca="false">IF(73&lt;5,0,IF(MAX(BT39:BY39)&gt;BY44+2+$B$18,1,0))</f>
        <v>0</v>
      </c>
      <c r="BZ63" s="385" t="n">
        <f aca="false">IF(74&lt;5,0,IF(MAX(BU39:BZ39)&gt;BZ44+2+$B$18,1,0))</f>
        <v>0</v>
      </c>
      <c r="CA63" s="385" t="n">
        <f aca="false">IF(75&lt;5,0,IF(MAX(BV39:CA39)&gt;CA44+2+$B$18,1,0))</f>
        <v>0</v>
      </c>
      <c r="CB63" s="385" t="n">
        <f aca="false">IF(76&lt;5,0,IF(MAX(BW39:CB39)&gt;CB44+2+$B$18,1,0))</f>
        <v>0</v>
      </c>
      <c r="CC63" s="385" t="n">
        <f aca="false">IF(77&lt;5,0,IF(MAX(BX39:CC39)&gt;CC44+2+$B$18,1,0))</f>
        <v>0</v>
      </c>
      <c r="CD63" s="385" t="n">
        <f aca="false">IF(78&lt;5,0,IF(MAX(BY39:CD39)&gt;CD44+2+$B$18,1,0))</f>
        <v>0</v>
      </c>
      <c r="CE63" s="385" t="n">
        <f aca="false">IF(79&lt;5,0,IF(MAX(BZ39:CE39)&gt;CE44+2+$B$18,1,0))</f>
        <v>0</v>
      </c>
      <c r="CF63" s="385" t="n">
        <f aca="false">IF(80&lt;5,0,IF(MAX(CA39:CF39)&gt;CF44+2+$B$18,1,0))</f>
        <v>0</v>
      </c>
      <c r="CG63" s="385" t="n">
        <f aca="false">IF(81&lt;5,0,IF(MAX(CB39:CG39)&gt;CG44+2+$B$18,1,0))</f>
        <v>0</v>
      </c>
      <c r="CH63" s="385" t="n">
        <f aca="false">IF(82&lt;5,0,IF(MAX(CC39:CH39)&gt;CH44+2+$B$18,1,0))</f>
        <v>0</v>
      </c>
      <c r="CI63" s="385" t="n">
        <f aca="false">IF(83&lt;5,0,IF(MAX(CD39:CI39)&gt;CI44+2+$B$18,1,0))</f>
        <v>0</v>
      </c>
      <c r="CJ63" s="385" t="n">
        <f aca="false">IF(84&lt;5,0,IF(MAX(CE39:CJ39)&gt;CJ44+2+$B$18,1,0))</f>
        <v>0</v>
      </c>
      <c r="CK63" s="385" t="n">
        <f aca="false">IF(85&lt;5,0,IF(MAX(CF39:CK39)&gt;CK44+2+$B$18,1,0))</f>
        <v>0</v>
      </c>
      <c r="CL63" s="385" t="n">
        <f aca="false">IF(86&lt;5,0,IF(MAX(CG39:CL39)&gt;CL44+2+$B$18,1,0))</f>
        <v>0</v>
      </c>
      <c r="CM63" s="385" t="n">
        <f aca="false">IF(87&lt;5,0,IF(MAX(CH39:CM39)&gt;CM44+2+$B$18,1,0))</f>
        <v>0</v>
      </c>
      <c r="CN63" s="385" t="n">
        <f aca="false">IF(88&lt;5,0,IF(MAX(CI39:CN39)&gt;CN44+2+$B$18,1,0))</f>
        <v>0</v>
      </c>
      <c r="CO63" s="385" t="n">
        <f aca="false">IF(89&lt;5,0,IF(MAX(CJ39:CO39)&gt;CO44+2+$B$18,1,0))</f>
        <v>0</v>
      </c>
      <c r="CP63" s="385" t="n">
        <f aca="false">IF(90&lt;5,0,IF(MAX(CK39:CP39)&gt;CP44+2+$B$18,1,0))</f>
        <v>0</v>
      </c>
      <c r="CQ63" s="385" t="n">
        <f aca="false">IF(91&lt;5,0,IF(MAX(CL39:CQ39)&gt;CQ44+2+$B$18,1,0))</f>
        <v>0</v>
      </c>
      <c r="CR63" s="385" t="n">
        <f aca="false">IF(92&lt;5,0,IF(MAX(CM39:CR39)&gt;CR44+2+$B$18,1,0))</f>
        <v>0</v>
      </c>
      <c r="CS63" s="385" t="n">
        <f aca="false">IF(93&lt;5,0,IF(MAX(CN39:CS39)&gt;CS44+2+$B$18,1,0))</f>
        <v>0</v>
      </c>
      <c r="CT63" s="385" t="n">
        <f aca="false">IF(94&lt;5,0,IF(MAX(CO39:CT39)&gt;CT44+2+$B$18,1,0))</f>
        <v>0</v>
      </c>
      <c r="CU63" s="385" t="n">
        <f aca="false">IF(95&lt;5,0,IF(MAX(CP39:CU39)&gt;CU44+2+$B$18,1,0))</f>
        <v>0</v>
      </c>
      <c r="CV63" s="385" t="n">
        <f aca="false">IF(96&lt;5,0,IF(MAX(CQ39:CV39)&gt;CV44+2+$B$18,1,0))</f>
        <v>0</v>
      </c>
      <c r="CW63" s="385" t="n">
        <f aca="false">IF(97&lt;5,0,IF(MAX(CR39:CW39)&gt;CW44+2+$B$18,1,0))</f>
        <v>0</v>
      </c>
      <c r="CX63" s="385" t="n">
        <f aca="false">IF(98&lt;5,0,IF(MAX(CS39:CX39)&gt;CX44+2+$B$18,1,0))</f>
        <v>0</v>
      </c>
      <c r="CY63" s="385" t="n">
        <f aca="false">IF(99&lt;5,0,IF(MAX(CT39:CY39)&gt;CY44+2+$B$18,1,0))</f>
        <v>0</v>
      </c>
      <c r="CZ63" s="385" t="n">
        <f aca="false">IF(100&lt;5,0,IF(MAX(CU39:CZ39)&gt;CZ44+2+$B$18,1,0))</f>
        <v>0</v>
      </c>
      <c r="DA63" s="385" t="n">
        <f aca="false">IF(101&lt;5,0,IF(MAX(CV39:DA39)&gt;DA44+2+$B$18,1,0))</f>
        <v>0</v>
      </c>
      <c r="DB63" s="385" t="n">
        <f aca="false">IF(102&lt;5,0,IF(MAX(CW39:DB39)&gt;DB44+2+$B$18,1,0))</f>
        <v>0</v>
      </c>
      <c r="DC63" s="385" t="n">
        <f aca="false">IF(103&lt;5,0,IF(MAX(CX39:DC39)&gt;DC44+2+$B$18,1,0))</f>
        <v>0</v>
      </c>
      <c r="DD63" s="385" t="n">
        <f aca="false">IF(104&lt;5,0,IF(MAX(CY39:DD39)&gt;DD44+2+$B$18,1,0))</f>
        <v>0</v>
      </c>
      <c r="DE63" s="385" t="n">
        <f aca="false">IF(105&lt;5,0,IF(MAX(CZ39:DE39)&gt;DE44+2+$B$18,1,0))</f>
        <v>0</v>
      </c>
    </row>
    <row r="64" customFormat="false" ht="13.5" hidden="false" customHeight="true" outlineLevel="0" collapsed="false">
      <c r="A64" s="110" t="s">
        <v>1398</v>
      </c>
      <c r="B64" s="213" t="n">
        <f aca="false">$B$28</f>
        <v>130000</v>
      </c>
      <c r="E64" s="385" t="n">
        <f aca="false">IF(1&lt;5,0,IF(MAX(E39)&gt;E44+3+$B$18,1,0))</f>
        <v>0</v>
      </c>
      <c r="F64" s="385" t="n">
        <f aca="false">IF(2&lt;5,0,IF(MAX(E39:F39)&gt;F44+3+$B$18,1,0))</f>
        <v>0</v>
      </c>
      <c r="G64" s="385" t="n">
        <f aca="false">IF(3&lt;5,0,IF(MAX(E39:G39)&gt;G44+3+$B$18,1,0))</f>
        <v>0</v>
      </c>
      <c r="H64" s="385" t="n">
        <f aca="false">IF(4&lt;5,0,IF(MAX(E39:H39)&gt;H44+3+$B$18,1,0))</f>
        <v>0</v>
      </c>
      <c r="I64" s="385" t="n">
        <f aca="false">IF(5&lt;5,0,IF(MAX(E39:I39)&gt;I44+3+$B$18,1,0))</f>
        <v>0</v>
      </c>
      <c r="J64" s="385" t="n">
        <f aca="false">IF(6&lt;5,0,IF(MAX(E39:J39)&gt;J44+3+$B$18,1,0))</f>
        <v>0</v>
      </c>
      <c r="K64" s="385" t="n">
        <f aca="false">IF(7&lt;5,0,IF(MAX(F39:K39)&gt;K44+3+$B$18,1,0))</f>
        <v>0</v>
      </c>
      <c r="L64" s="385" t="n">
        <f aca="false">IF(8&lt;5,0,IF(MAX(G39:L39)&gt;L44+3+$B$18,1,0))</f>
        <v>0</v>
      </c>
      <c r="M64" s="385" t="n">
        <f aca="false">IF(9&lt;5,0,IF(MAX(H39:M39)&gt;M44+3+$B$18,1,0))</f>
        <v>0</v>
      </c>
      <c r="N64" s="385" t="n">
        <f aca="false">IF(10&lt;5,0,IF(MAX(I39:N39)&gt;N44+3+$B$18,1,0))</f>
        <v>0</v>
      </c>
      <c r="O64" s="385" t="n">
        <f aca="false">IF(11&lt;5,0,IF(MAX(J39:O39)&gt;O44+3+$B$18,1,0))</f>
        <v>0</v>
      </c>
      <c r="P64" s="385" t="n">
        <f aca="false">IF(12&lt;5,0,IF(MAX(K39:P39)&gt;P44+3+$B$18,1,0))</f>
        <v>0</v>
      </c>
      <c r="Q64" s="385" t="n">
        <f aca="false">IF(13&lt;5,0,IF(MAX(L39:Q39)&gt;Q44+3+$B$18,1,0))</f>
        <v>0</v>
      </c>
      <c r="R64" s="385" t="n">
        <f aca="false">IF(14&lt;5,0,IF(MAX(M39:R39)&gt;R44+3+$B$18,1,0))</f>
        <v>0</v>
      </c>
      <c r="S64" s="385" t="n">
        <f aca="false">IF(15&lt;5,0,IF(MAX(N39:S39)&gt;S44+3+$B$18,1,0))</f>
        <v>0</v>
      </c>
      <c r="T64" s="385" t="n">
        <f aca="false">IF(16&lt;5,0,IF(MAX(O39:T39)&gt;T44+3+$B$18,1,0))</f>
        <v>0</v>
      </c>
      <c r="U64" s="385" t="n">
        <f aca="false">IF(17&lt;5,0,IF(MAX(P39:U39)&gt;U44+3+$B$18,1,0))</f>
        <v>0</v>
      </c>
      <c r="V64" s="385" t="n">
        <f aca="false">IF(18&lt;5,0,IF(MAX(Q39:V39)&gt;V44+3+$B$18,1,0))</f>
        <v>0</v>
      </c>
      <c r="W64" s="385" t="n">
        <f aca="false">IF(19&lt;5,0,IF(MAX(R39:W39)&gt;W44+3+$B$18,1,0))</f>
        <v>0</v>
      </c>
      <c r="X64" s="385" t="n">
        <f aca="false">IF(20&lt;5,0,IF(MAX(S39:X39)&gt;X44+3+$B$18,1,0))</f>
        <v>0</v>
      </c>
      <c r="Y64" s="385" t="n">
        <f aca="false">IF(21&lt;5,0,IF(MAX(T39:Y39)&gt;Y44+3+$B$18,1,0))</f>
        <v>0</v>
      </c>
      <c r="Z64" s="385" t="n">
        <f aca="false">IF(22&lt;5,0,IF(MAX(U39:Z39)&gt;Z44+3+$B$18,1,0))</f>
        <v>0</v>
      </c>
      <c r="AA64" s="385" t="n">
        <f aca="false">IF(23&lt;5,0,IF(MAX(V39:AA39)&gt;AA44+3+$B$18,1,0))</f>
        <v>0</v>
      </c>
      <c r="AB64" s="385" t="n">
        <f aca="false">IF(24&lt;5,0,IF(MAX(W39:AB39)&gt;AB44+3+$B$18,1,0))</f>
        <v>0</v>
      </c>
      <c r="AC64" s="385" t="n">
        <f aca="false">IF(25&lt;5,0,IF(MAX(X39:AC39)&gt;AC44+3+$B$18,1,0))</f>
        <v>0</v>
      </c>
      <c r="AD64" s="385" t="n">
        <f aca="false">IF(26&lt;5,0,IF(MAX(Y39:AD39)&gt;AD44+3+$B$18,1,0))</f>
        <v>0</v>
      </c>
      <c r="AE64" s="385" t="n">
        <f aca="false">IF(27&lt;5,0,IF(MAX(Z39:AE39)&gt;AE44+3+$B$18,1,0))</f>
        <v>0</v>
      </c>
      <c r="AF64" s="385" t="n">
        <f aca="false">IF(28&lt;5,0,IF(MAX(AA39:AF39)&gt;AF44+3+$B$18,1,0))</f>
        <v>0</v>
      </c>
      <c r="AG64" s="385" t="n">
        <f aca="false">IF(29&lt;5,0,IF(MAX(AB39:AG39)&gt;AG44+3+$B$18,1,0))</f>
        <v>0</v>
      </c>
      <c r="AH64" s="385" t="n">
        <f aca="false">IF(30&lt;5,0,IF(MAX(AC39:AH39)&gt;AH44+3+$B$18,1,0))</f>
        <v>0</v>
      </c>
      <c r="AI64" s="385" t="n">
        <f aca="false">IF(31&lt;5,0,IF(MAX(AD39:AI39)&gt;AI44+3+$B$18,1,0))</f>
        <v>0</v>
      </c>
      <c r="AJ64" s="385" t="n">
        <f aca="false">IF(32&lt;5,0,IF(MAX(AE39:AJ39)&gt;AJ44+3+$B$18,1,0))</f>
        <v>0</v>
      </c>
      <c r="AK64" s="385" t="n">
        <f aca="false">IF(33&lt;5,0,IF(MAX(AF39:AK39)&gt;AK44+3+$B$18,1,0))</f>
        <v>0</v>
      </c>
      <c r="AL64" s="385" t="n">
        <f aca="false">IF(34&lt;5,0,IF(MAX(AG39:AL39)&gt;AL44+3+$B$18,1,0))</f>
        <v>0</v>
      </c>
      <c r="AM64" s="385" t="n">
        <f aca="false">IF(35&lt;5,0,IF(MAX(AH39:AM39)&gt;AM44+3+$B$18,1,0))</f>
        <v>0</v>
      </c>
      <c r="AN64" s="385" t="n">
        <f aca="false">IF(36&lt;5,0,IF(MAX(AI39:AN39)&gt;AN44+3+$B$18,1,0))</f>
        <v>0</v>
      </c>
      <c r="AO64" s="385" t="n">
        <f aca="false">IF(37&lt;5,0,IF(MAX(AJ39:AO39)&gt;AO44+3+$B$18,1,0))</f>
        <v>0</v>
      </c>
      <c r="AP64" s="385" t="n">
        <f aca="false">IF(38&lt;5,0,IF(MAX(AK39:AP39)&gt;AP44+3+$B$18,1,0))</f>
        <v>0</v>
      </c>
      <c r="AQ64" s="385" t="n">
        <f aca="false">IF(39&lt;5,0,IF(MAX(AL39:AQ39)&gt;AQ44+3+$B$18,1,0))</f>
        <v>0</v>
      </c>
      <c r="AR64" s="385" t="n">
        <f aca="false">IF(40&lt;5,0,IF(MAX(AM39:AR39)&gt;AR44+3+$B$18,1,0))</f>
        <v>0</v>
      </c>
      <c r="AS64" s="385" t="n">
        <f aca="false">IF(41&lt;5,0,IF(MAX(AN39:AS39)&gt;AS44+3+$B$18,1,0))</f>
        <v>0</v>
      </c>
      <c r="AT64" s="385" t="n">
        <f aca="false">IF(42&lt;5,0,IF(MAX(AO39:AT39)&gt;AT44+3+$B$18,1,0))</f>
        <v>0</v>
      </c>
      <c r="AU64" s="385" t="n">
        <f aca="false">IF(43&lt;5,0,IF(MAX(AP39:AU39)&gt;AU44+3+$B$18,1,0))</f>
        <v>0</v>
      </c>
      <c r="AV64" s="385" t="n">
        <f aca="false">IF(44&lt;5,0,IF(MAX(AQ39:AV39)&gt;AV44+3+$B$18,1,0))</f>
        <v>0</v>
      </c>
      <c r="AW64" s="385" t="n">
        <f aca="false">IF(45&lt;5,0,IF(MAX(AR39:AW39)&gt;AW44+3+$B$18,1,0))</f>
        <v>0</v>
      </c>
      <c r="AX64" s="385" t="n">
        <f aca="false">IF(46&lt;5,0,IF(MAX(AS39:AX39)&gt;AX44+3+$B$18,1,0))</f>
        <v>0</v>
      </c>
      <c r="AY64" s="385" t="n">
        <f aca="false">IF(47&lt;5,0,IF(MAX(AT39:AY39)&gt;AY44+3+$B$18,1,0))</f>
        <v>0</v>
      </c>
      <c r="AZ64" s="385" t="n">
        <f aca="false">IF(48&lt;5,0,IF(MAX(AU39:AZ39)&gt;AZ44+3+$B$18,1,0))</f>
        <v>0</v>
      </c>
      <c r="BA64" s="385" t="n">
        <f aca="false">IF(49&lt;5,0,IF(MAX(AV39:BA39)&gt;BA44+3+$B$18,1,0))</f>
        <v>0</v>
      </c>
      <c r="BB64" s="385" t="n">
        <f aca="false">IF(50&lt;5,0,IF(MAX(AW39:BB39)&gt;BB44+3+$B$18,1,0))</f>
        <v>0</v>
      </c>
      <c r="BC64" s="385" t="n">
        <f aca="false">IF(51&lt;5,0,IF(MAX(AX39:BC39)&gt;BC44+3+$B$18,1,0))</f>
        <v>0</v>
      </c>
      <c r="BD64" s="385" t="n">
        <f aca="false">IF(52&lt;5,0,IF(MAX(AY39:BD39)&gt;BD44+3+$B$18,1,0))</f>
        <v>0</v>
      </c>
      <c r="BE64" s="385" t="n">
        <f aca="false">IF(53&lt;5,0,IF(MAX(AZ39:BE39)&gt;BE44+3+$B$18,1,0))</f>
        <v>0</v>
      </c>
      <c r="BF64" s="385" t="n">
        <f aca="false">IF(54&lt;5,0,IF(MAX(BA39:BF39)&gt;BF44+3+$B$18,1,0))</f>
        <v>0</v>
      </c>
      <c r="BG64" s="385" t="n">
        <f aca="false">IF(55&lt;5,0,IF(MAX(BB39:BG39)&gt;BG44+3+$B$18,1,0))</f>
        <v>0</v>
      </c>
      <c r="BH64" s="385" t="n">
        <f aca="false">IF(56&lt;5,0,IF(MAX(BC39:BH39)&gt;BH44+3+$B$18,1,0))</f>
        <v>0</v>
      </c>
      <c r="BI64" s="385" t="n">
        <f aca="false">IF(57&lt;5,0,IF(MAX(BD39:BI39)&gt;BI44+3+$B$18,1,0))</f>
        <v>0</v>
      </c>
      <c r="BJ64" s="385" t="n">
        <f aca="false">IF(58&lt;5,0,IF(MAX(BE39:BJ39)&gt;BJ44+3+$B$18,1,0))</f>
        <v>0</v>
      </c>
      <c r="BK64" s="385" t="n">
        <f aca="false">IF(59&lt;5,0,IF(MAX(BF39:BK39)&gt;BK44+3+$B$18,1,0))</f>
        <v>0</v>
      </c>
      <c r="BL64" s="385" t="n">
        <f aca="false">IF(60&lt;5,0,IF(MAX(BG39:BL39)&gt;BL44+3+$B$18,1,0))</f>
        <v>0</v>
      </c>
      <c r="BM64" s="385" t="n">
        <f aca="false">IF(61&lt;5,0,IF(MAX(BH39:BM39)&gt;BM44+3+$B$18,1,0))</f>
        <v>0</v>
      </c>
      <c r="BN64" s="385" t="n">
        <f aca="false">IF(62&lt;5,0,IF(MAX(BI39:BN39)&gt;BN44+3+$B$18,1,0))</f>
        <v>0</v>
      </c>
      <c r="BO64" s="385" t="n">
        <f aca="false">IF(63&lt;5,0,IF(MAX(BJ39:BO39)&gt;BO44+3+$B$18,1,0))</f>
        <v>0</v>
      </c>
      <c r="BP64" s="385" t="n">
        <f aca="false">IF(64&lt;5,0,IF(MAX(BK39:BP39)&gt;BP44+3+$B$18,1,0))</f>
        <v>0</v>
      </c>
      <c r="BQ64" s="385" t="n">
        <f aca="false">IF(65&lt;5,0,IF(MAX(BL39:BQ39)&gt;BQ44+3+$B$18,1,0))</f>
        <v>0</v>
      </c>
      <c r="BR64" s="385" t="n">
        <f aca="false">IF(66&lt;5,0,IF(MAX(BM39:BR39)&gt;BR44+3+$B$18,1,0))</f>
        <v>0</v>
      </c>
      <c r="BS64" s="385" t="n">
        <f aca="false">IF(67&lt;5,0,IF(MAX(BN39:BS39)&gt;BS44+3+$B$18,1,0))</f>
        <v>0</v>
      </c>
      <c r="BT64" s="385" t="n">
        <f aca="false">IF(68&lt;5,0,IF(MAX(BO39:BT39)&gt;BT44+3+$B$18,1,0))</f>
        <v>0</v>
      </c>
      <c r="BU64" s="385" t="n">
        <f aca="false">IF(69&lt;5,0,IF(MAX(BP39:BU39)&gt;BU44+3+$B$18,1,0))</f>
        <v>0</v>
      </c>
      <c r="BV64" s="385" t="n">
        <f aca="false">IF(70&lt;5,0,IF(MAX(BQ39:BV39)&gt;BV44+3+$B$18,1,0))</f>
        <v>0</v>
      </c>
      <c r="BW64" s="385" t="n">
        <f aca="false">IF(71&lt;5,0,IF(MAX(BR39:BW39)&gt;BW44+3+$B$18,1,0))</f>
        <v>0</v>
      </c>
      <c r="BX64" s="385" t="n">
        <f aca="false">IF(72&lt;5,0,IF(MAX(BS39:BX39)&gt;BX44+3+$B$18,1,0))</f>
        <v>0</v>
      </c>
      <c r="BY64" s="385" t="n">
        <f aca="false">IF(73&lt;5,0,IF(MAX(BT39:BY39)&gt;BY44+3+$B$18,1,0))</f>
        <v>0</v>
      </c>
      <c r="BZ64" s="385" t="n">
        <f aca="false">IF(74&lt;5,0,IF(MAX(BU39:BZ39)&gt;BZ44+3+$B$18,1,0))</f>
        <v>0</v>
      </c>
      <c r="CA64" s="385" t="n">
        <f aca="false">IF(75&lt;5,0,IF(MAX(BV39:CA39)&gt;CA44+3+$B$18,1,0))</f>
        <v>0</v>
      </c>
      <c r="CB64" s="385" t="n">
        <f aca="false">IF(76&lt;5,0,IF(MAX(BW39:CB39)&gt;CB44+3+$B$18,1,0))</f>
        <v>0</v>
      </c>
      <c r="CC64" s="385" t="n">
        <f aca="false">IF(77&lt;5,0,IF(MAX(BX39:CC39)&gt;CC44+3+$B$18,1,0))</f>
        <v>0</v>
      </c>
      <c r="CD64" s="385" t="n">
        <f aca="false">IF(78&lt;5,0,IF(MAX(BY39:CD39)&gt;CD44+3+$B$18,1,0))</f>
        <v>0</v>
      </c>
      <c r="CE64" s="385" t="n">
        <f aca="false">IF(79&lt;5,0,IF(MAX(BZ39:CE39)&gt;CE44+3+$B$18,1,0))</f>
        <v>0</v>
      </c>
      <c r="CF64" s="385" t="n">
        <f aca="false">IF(80&lt;5,0,IF(MAX(CA39:CF39)&gt;CF44+3+$B$18,1,0))</f>
        <v>0</v>
      </c>
      <c r="CG64" s="385" t="n">
        <f aca="false">IF(81&lt;5,0,IF(MAX(CB39:CG39)&gt;CG44+3+$B$18,1,0))</f>
        <v>0</v>
      </c>
      <c r="CH64" s="385" t="n">
        <f aca="false">IF(82&lt;5,0,IF(MAX(CC39:CH39)&gt;CH44+3+$B$18,1,0))</f>
        <v>0</v>
      </c>
      <c r="CI64" s="385" t="n">
        <f aca="false">IF(83&lt;5,0,IF(MAX(CD39:CI39)&gt;CI44+3+$B$18,1,0))</f>
        <v>0</v>
      </c>
      <c r="CJ64" s="385" t="n">
        <f aca="false">IF(84&lt;5,0,IF(MAX(CE39:CJ39)&gt;CJ44+3+$B$18,1,0))</f>
        <v>0</v>
      </c>
      <c r="CK64" s="385" t="n">
        <f aca="false">IF(85&lt;5,0,IF(MAX(CF39:CK39)&gt;CK44+3+$B$18,1,0))</f>
        <v>0</v>
      </c>
      <c r="CL64" s="385" t="n">
        <f aca="false">IF(86&lt;5,0,IF(MAX(CG39:CL39)&gt;CL44+3+$B$18,1,0))</f>
        <v>0</v>
      </c>
      <c r="CM64" s="385" t="n">
        <f aca="false">IF(87&lt;5,0,IF(MAX(CH39:CM39)&gt;CM44+3+$B$18,1,0))</f>
        <v>0</v>
      </c>
      <c r="CN64" s="385" t="n">
        <f aca="false">IF(88&lt;5,0,IF(MAX(CI39:CN39)&gt;CN44+3+$B$18,1,0))</f>
        <v>0</v>
      </c>
      <c r="CO64" s="385" t="n">
        <f aca="false">IF(89&lt;5,0,IF(MAX(CJ39:CO39)&gt;CO44+3+$B$18,1,0))</f>
        <v>0</v>
      </c>
      <c r="CP64" s="385" t="n">
        <f aca="false">IF(90&lt;5,0,IF(MAX(CK39:CP39)&gt;CP44+3+$B$18,1,0))</f>
        <v>0</v>
      </c>
      <c r="CQ64" s="385" t="n">
        <f aca="false">IF(91&lt;5,0,IF(MAX(CL39:CQ39)&gt;CQ44+3+$B$18,1,0))</f>
        <v>0</v>
      </c>
      <c r="CR64" s="385" t="n">
        <f aca="false">IF(92&lt;5,0,IF(MAX(CM39:CR39)&gt;CR44+3+$B$18,1,0))</f>
        <v>0</v>
      </c>
      <c r="CS64" s="385" t="n">
        <f aca="false">IF(93&lt;5,0,IF(MAX(CN39:CS39)&gt;CS44+3+$B$18,1,0))</f>
        <v>0</v>
      </c>
      <c r="CT64" s="385" t="n">
        <f aca="false">IF(94&lt;5,0,IF(MAX(CO39:CT39)&gt;CT44+3+$B$18,1,0))</f>
        <v>0</v>
      </c>
      <c r="CU64" s="385" t="n">
        <f aca="false">IF(95&lt;5,0,IF(MAX(CP39:CU39)&gt;CU44+3+$B$18,1,0))</f>
        <v>0</v>
      </c>
      <c r="CV64" s="385" t="n">
        <f aca="false">IF(96&lt;5,0,IF(MAX(CQ39:CV39)&gt;CV44+3+$B$18,1,0))</f>
        <v>0</v>
      </c>
      <c r="CW64" s="385" t="n">
        <f aca="false">IF(97&lt;5,0,IF(MAX(CR39:CW39)&gt;CW44+3+$B$18,1,0))</f>
        <v>0</v>
      </c>
      <c r="CX64" s="385" t="n">
        <f aca="false">IF(98&lt;5,0,IF(MAX(CS39:CX39)&gt;CX44+3+$B$18,1,0))</f>
        <v>0</v>
      </c>
      <c r="CY64" s="385" t="n">
        <f aca="false">IF(99&lt;5,0,IF(MAX(CT39:CY39)&gt;CY44+3+$B$18,1,0))</f>
        <v>0</v>
      </c>
      <c r="CZ64" s="385" t="n">
        <f aca="false">IF(100&lt;5,0,IF(MAX(CU39:CZ39)&gt;CZ44+3+$B$18,1,0))</f>
        <v>0</v>
      </c>
      <c r="DA64" s="385" t="n">
        <f aca="false">IF(101&lt;5,0,IF(MAX(CV39:DA39)&gt;DA44+3+$B$18,1,0))</f>
        <v>0</v>
      </c>
      <c r="DB64" s="385" t="n">
        <f aca="false">IF(102&lt;5,0,IF(MAX(CW39:DB39)&gt;DB44+3+$B$18,1,0))</f>
        <v>0</v>
      </c>
      <c r="DC64" s="385" t="n">
        <f aca="false">IF(103&lt;5,0,IF(MAX(CX39:DC39)&gt;DC44+3+$B$18,1,0))</f>
        <v>0</v>
      </c>
      <c r="DD64" s="385" t="n">
        <f aca="false">IF(104&lt;5,0,IF(MAX(CY39:DD39)&gt;DD44+3+$B$18,1,0))</f>
        <v>0</v>
      </c>
      <c r="DE64" s="385" t="n">
        <f aca="false">IF(105&lt;5,0,IF(MAX(CZ39:DE39)&gt;DE44+3+$B$18,1,0))</f>
        <v>0</v>
      </c>
    </row>
    <row r="65" customFormat="false" ht="13.5" hidden="false" customHeight="true" outlineLevel="0" collapsed="false">
      <c r="A65" s="110" t="s">
        <v>1399</v>
      </c>
      <c r="B65" s="213" t="n">
        <f aca="false">$B$28</f>
        <v>130000</v>
      </c>
      <c r="E65" s="385" t="n">
        <f aca="false">IF(1&lt;5,0,IF(MAX(E39)&gt;E44+4+$B$18,1,0))</f>
        <v>0</v>
      </c>
      <c r="F65" s="385" t="n">
        <f aca="false">IF(2&lt;5,0,IF(MAX(E39:F39)&gt;F44+4+$B$18,1,0))</f>
        <v>0</v>
      </c>
      <c r="G65" s="385" t="n">
        <f aca="false">IF(3&lt;5,0,IF(MAX(E39:G39)&gt;G44+4+$B$18,1,0))</f>
        <v>0</v>
      </c>
      <c r="H65" s="385" t="n">
        <f aca="false">IF(4&lt;5,0,IF(MAX(E39:H39)&gt;H44+4+$B$18,1,0))</f>
        <v>0</v>
      </c>
      <c r="I65" s="385" t="n">
        <f aca="false">IF(5&lt;5,0,IF(MAX(E39:I39)&gt;I44+4+$B$18,1,0))</f>
        <v>0</v>
      </c>
      <c r="J65" s="385" t="n">
        <f aca="false">IF(6&lt;5,0,IF(MAX(E39:J39)&gt;J44+4+$B$18,1,0))</f>
        <v>0</v>
      </c>
      <c r="K65" s="385" t="n">
        <f aca="false">IF(7&lt;5,0,IF(MAX(F39:K39)&gt;K44+4+$B$18,1,0))</f>
        <v>0</v>
      </c>
      <c r="L65" s="385" t="n">
        <f aca="false">IF(8&lt;5,0,IF(MAX(G39:L39)&gt;L44+4+$B$18,1,0))</f>
        <v>0</v>
      </c>
      <c r="M65" s="385" t="n">
        <f aca="false">IF(9&lt;5,0,IF(MAX(H39:M39)&gt;M44+4+$B$18,1,0))</f>
        <v>0</v>
      </c>
      <c r="N65" s="385" t="n">
        <f aca="false">IF(10&lt;5,0,IF(MAX(I39:N39)&gt;N44+4+$B$18,1,0))</f>
        <v>0</v>
      </c>
      <c r="O65" s="385" t="n">
        <f aca="false">IF(11&lt;5,0,IF(MAX(J39:O39)&gt;O44+4+$B$18,1,0))</f>
        <v>0</v>
      </c>
      <c r="P65" s="385" t="n">
        <f aca="false">IF(12&lt;5,0,IF(MAX(K39:P39)&gt;P44+4+$B$18,1,0))</f>
        <v>0</v>
      </c>
      <c r="Q65" s="385" t="n">
        <f aca="false">IF(13&lt;5,0,IF(MAX(L39:Q39)&gt;Q44+4+$B$18,1,0))</f>
        <v>0</v>
      </c>
      <c r="R65" s="385" t="n">
        <f aca="false">IF(14&lt;5,0,IF(MAX(M39:R39)&gt;R44+4+$B$18,1,0))</f>
        <v>0</v>
      </c>
      <c r="S65" s="385" t="n">
        <f aca="false">IF(15&lt;5,0,IF(MAX(N39:S39)&gt;S44+4+$B$18,1,0))</f>
        <v>0</v>
      </c>
      <c r="T65" s="385" t="n">
        <f aca="false">IF(16&lt;5,0,IF(MAX(O39:T39)&gt;T44+4+$B$18,1,0))</f>
        <v>0</v>
      </c>
      <c r="U65" s="385" t="n">
        <f aca="false">IF(17&lt;5,0,IF(MAX(P39:U39)&gt;U44+4+$B$18,1,0))</f>
        <v>0</v>
      </c>
      <c r="V65" s="385" t="n">
        <f aca="false">IF(18&lt;5,0,IF(MAX(Q39:V39)&gt;V44+4+$B$18,1,0))</f>
        <v>0</v>
      </c>
      <c r="W65" s="385" t="n">
        <f aca="false">IF(19&lt;5,0,IF(MAX(R39:W39)&gt;W44+4+$B$18,1,0))</f>
        <v>0</v>
      </c>
      <c r="X65" s="385" t="n">
        <f aca="false">IF(20&lt;5,0,IF(MAX(S39:X39)&gt;X44+4+$B$18,1,0))</f>
        <v>0</v>
      </c>
      <c r="Y65" s="385" t="n">
        <f aca="false">IF(21&lt;5,0,IF(MAX(T39:Y39)&gt;Y44+4+$B$18,1,0))</f>
        <v>0</v>
      </c>
      <c r="Z65" s="385" t="n">
        <f aca="false">IF(22&lt;5,0,IF(MAX(U39:Z39)&gt;Z44+4+$B$18,1,0))</f>
        <v>0</v>
      </c>
      <c r="AA65" s="385" t="n">
        <f aca="false">IF(23&lt;5,0,IF(MAX(V39:AA39)&gt;AA44+4+$B$18,1,0))</f>
        <v>0</v>
      </c>
      <c r="AB65" s="385" t="n">
        <f aca="false">IF(24&lt;5,0,IF(MAX(W39:AB39)&gt;AB44+4+$B$18,1,0))</f>
        <v>0</v>
      </c>
      <c r="AC65" s="385" t="n">
        <f aca="false">IF(25&lt;5,0,IF(MAX(X39:AC39)&gt;AC44+4+$B$18,1,0))</f>
        <v>0</v>
      </c>
      <c r="AD65" s="385" t="n">
        <f aca="false">IF(26&lt;5,0,IF(MAX(Y39:AD39)&gt;AD44+4+$B$18,1,0))</f>
        <v>0</v>
      </c>
      <c r="AE65" s="385" t="n">
        <f aca="false">IF(27&lt;5,0,IF(MAX(Z39:AE39)&gt;AE44+4+$B$18,1,0))</f>
        <v>0</v>
      </c>
      <c r="AF65" s="385" t="n">
        <f aca="false">IF(28&lt;5,0,IF(MAX(AA39:AF39)&gt;AF44+4+$B$18,1,0))</f>
        <v>0</v>
      </c>
      <c r="AG65" s="385" t="n">
        <f aca="false">IF(29&lt;5,0,IF(MAX(AB39:AG39)&gt;AG44+4+$B$18,1,0))</f>
        <v>0</v>
      </c>
      <c r="AH65" s="385" t="n">
        <f aca="false">IF(30&lt;5,0,IF(MAX(AC39:AH39)&gt;AH44+4+$B$18,1,0))</f>
        <v>0</v>
      </c>
      <c r="AI65" s="385" t="n">
        <f aca="false">IF(31&lt;5,0,IF(MAX(AD39:AI39)&gt;AI44+4+$B$18,1,0))</f>
        <v>0</v>
      </c>
      <c r="AJ65" s="385" t="n">
        <f aca="false">IF(32&lt;5,0,IF(MAX(AE39:AJ39)&gt;AJ44+4+$B$18,1,0))</f>
        <v>0</v>
      </c>
      <c r="AK65" s="385" t="n">
        <f aca="false">IF(33&lt;5,0,IF(MAX(AF39:AK39)&gt;AK44+4+$B$18,1,0))</f>
        <v>0</v>
      </c>
      <c r="AL65" s="385" t="n">
        <f aca="false">IF(34&lt;5,0,IF(MAX(AG39:AL39)&gt;AL44+4+$B$18,1,0))</f>
        <v>0</v>
      </c>
      <c r="AM65" s="385" t="n">
        <f aca="false">IF(35&lt;5,0,IF(MAX(AH39:AM39)&gt;AM44+4+$B$18,1,0))</f>
        <v>0</v>
      </c>
      <c r="AN65" s="385" t="n">
        <f aca="false">IF(36&lt;5,0,IF(MAX(AI39:AN39)&gt;AN44+4+$B$18,1,0))</f>
        <v>0</v>
      </c>
      <c r="AO65" s="385" t="n">
        <f aca="false">IF(37&lt;5,0,IF(MAX(AJ39:AO39)&gt;AO44+4+$B$18,1,0))</f>
        <v>0</v>
      </c>
      <c r="AP65" s="385" t="n">
        <f aca="false">IF(38&lt;5,0,IF(MAX(AK39:AP39)&gt;AP44+4+$B$18,1,0))</f>
        <v>0</v>
      </c>
      <c r="AQ65" s="385" t="n">
        <f aca="false">IF(39&lt;5,0,IF(MAX(AL39:AQ39)&gt;AQ44+4+$B$18,1,0))</f>
        <v>0</v>
      </c>
      <c r="AR65" s="385" t="n">
        <f aca="false">IF(40&lt;5,0,IF(MAX(AM39:AR39)&gt;AR44+4+$B$18,1,0))</f>
        <v>0</v>
      </c>
      <c r="AS65" s="385" t="n">
        <f aca="false">IF(41&lt;5,0,IF(MAX(AN39:AS39)&gt;AS44+4+$B$18,1,0))</f>
        <v>0</v>
      </c>
      <c r="AT65" s="385" t="n">
        <f aca="false">IF(42&lt;5,0,IF(MAX(AO39:AT39)&gt;AT44+4+$B$18,1,0))</f>
        <v>0</v>
      </c>
      <c r="AU65" s="385" t="n">
        <f aca="false">IF(43&lt;5,0,IF(MAX(AP39:AU39)&gt;AU44+4+$B$18,1,0))</f>
        <v>0</v>
      </c>
      <c r="AV65" s="385" t="n">
        <f aca="false">IF(44&lt;5,0,IF(MAX(AQ39:AV39)&gt;AV44+4+$B$18,1,0))</f>
        <v>0</v>
      </c>
      <c r="AW65" s="385" t="n">
        <f aca="false">IF(45&lt;5,0,IF(MAX(AR39:AW39)&gt;AW44+4+$B$18,1,0))</f>
        <v>0</v>
      </c>
      <c r="AX65" s="385" t="n">
        <f aca="false">IF(46&lt;5,0,IF(MAX(AS39:AX39)&gt;AX44+4+$B$18,1,0))</f>
        <v>0</v>
      </c>
      <c r="AY65" s="385" t="n">
        <f aca="false">IF(47&lt;5,0,IF(MAX(AT39:AY39)&gt;AY44+4+$B$18,1,0))</f>
        <v>0</v>
      </c>
      <c r="AZ65" s="385" t="n">
        <f aca="false">IF(48&lt;5,0,IF(MAX(AU39:AZ39)&gt;AZ44+4+$B$18,1,0))</f>
        <v>0</v>
      </c>
      <c r="BA65" s="385" t="n">
        <f aca="false">IF(49&lt;5,0,IF(MAX(AV39:BA39)&gt;BA44+4+$B$18,1,0))</f>
        <v>0</v>
      </c>
      <c r="BB65" s="385" t="n">
        <f aca="false">IF(50&lt;5,0,IF(MAX(AW39:BB39)&gt;BB44+4+$B$18,1,0))</f>
        <v>0</v>
      </c>
      <c r="BC65" s="385" t="n">
        <f aca="false">IF(51&lt;5,0,IF(MAX(AX39:BC39)&gt;BC44+4+$B$18,1,0))</f>
        <v>0</v>
      </c>
      <c r="BD65" s="385" t="n">
        <f aca="false">IF(52&lt;5,0,IF(MAX(AY39:BD39)&gt;BD44+4+$B$18,1,0))</f>
        <v>0</v>
      </c>
      <c r="BE65" s="385" t="n">
        <f aca="false">IF(53&lt;5,0,IF(MAX(AZ39:BE39)&gt;BE44+4+$B$18,1,0))</f>
        <v>0</v>
      </c>
      <c r="BF65" s="385" t="n">
        <f aca="false">IF(54&lt;5,0,IF(MAX(BA39:BF39)&gt;BF44+4+$B$18,1,0))</f>
        <v>0</v>
      </c>
      <c r="BG65" s="385" t="n">
        <f aca="false">IF(55&lt;5,0,IF(MAX(BB39:BG39)&gt;BG44+4+$B$18,1,0))</f>
        <v>0</v>
      </c>
      <c r="BH65" s="385" t="n">
        <f aca="false">IF(56&lt;5,0,IF(MAX(BC39:BH39)&gt;BH44+4+$B$18,1,0))</f>
        <v>0</v>
      </c>
      <c r="BI65" s="385" t="n">
        <f aca="false">IF(57&lt;5,0,IF(MAX(BD39:BI39)&gt;BI44+4+$B$18,1,0))</f>
        <v>0</v>
      </c>
      <c r="BJ65" s="385" t="n">
        <f aca="false">IF(58&lt;5,0,IF(MAX(BE39:BJ39)&gt;BJ44+4+$B$18,1,0))</f>
        <v>0</v>
      </c>
      <c r="BK65" s="385" t="n">
        <f aca="false">IF(59&lt;5,0,IF(MAX(BF39:BK39)&gt;BK44+4+$B$18,1,0))</f>
        <v>0</v>
      </c>
      <c r="BL65" s="385" t="n">
        <f aca="false">IF(60&lt;5,0,IF(MAX(BG39:BL39)&gt;BL44+4+$B$18,1,0))</f>
        <v>0</v>
      </c>
      <c r="BM65" s="385" t="n">
        <f aca="false">IF(61&lt;5,0,IF(MAX(BH39:BM39)&gt;BM44+4+$B$18,1,0))</f>
        <v>0</v>
      </c>
      <c r="BN65" s="385" t="n">
        <f aca="false">IF(62&lt;5,0,IF(MAX(BI39:BN39)&gt;BN44+4+$B$18,1,0))</f>
        <v>0</v>
      </c>
      <c r="BO65" s="385" t="n">
        <f aca="false">IF(63&lt;5,0,IF(MAX(BJ39:BO39)&gt;BO44+4+$B$18,1,0))</f>
        <v>0</v>
      </c>
      <c r="BP65" s="385" t="n">
        <f aca="false">IF(64&lt;5,0,IF(MAX(BK39:BP39)&gt;BP44+4+$B$18,1,0))</f>
        <v>0</v>
      </c>
      <c r="BQ65" s="385" t="n">
        <f aca="false">IF(65&lt;5,0,IF(MAX(BL39:BQ39)&gt;BQ44+4+$B$18,1,0))</f>
        <v>0</v>
      </c>
      <c r="BR65" s="385" t="n">
        <f aca="false">IF(66&lt;5,0,IF(MAX(BM39:BR39)&gt;BR44+4+$B$18,1,0))</f>
        <v>0</v>
      </c>
      <c r="BS65" s="385" t="n">
        <f aca="false">IF(67&lt;5,0,IF(MAX(BN39:BS39)&gt;BS44+4+$B$18,1,0))</f>
        <v>0</v>
      </c>
      <c r="BT65" s="385" t="n">
        <f aca="false">IF(68&lt;5,0,IF(MAX(BO39:BT39)&gt;BT44+4+$B$18,1,0))</f>
        <v>0</v>
      </c>
      <c r="BU65" s="385" t="n">
        <f aca="false">IF(69&lt;5,0,IF(MAX(BP39:BU39)&gt;BU44+4+$B$18,1,0))</f>
        <v>0</v>
      </c>
      <c r="BV65" s="385" t="n">
        <f aca="false">IF(70&lt;5,0,IF(MAX(BQ39:BV39)&gt;BV44+4+$B$18,1,0))</f>
        <v>0</v>
      </c>
      <c r="BW65" s="385" t="n">
        <f aca="false">IF(71&lt;5,0,IF(MAX(BR39:BW39)&gt;BW44+4+$B$18,1,0))</f>
        <v>0</v>
      </c>
      <c r="BX65" s="385" t="n">
        <f aca="false">IF(72&lt;5,0,IF(MAX(BS39:BX39)&gt;BX44+4+$B$18,1,0))</f>
        <v>0</v>
      </c>
      <c r="BY65" s="385" t="n">
        <f aca="false">IF(73&lt;5,0,IF(MAX(BT39:BY39)&gt;BY44+4+$B$18,1,0))</f>
        <v>0</v>
      </c>
      <c r="BZ65" s="385" t="n">
        <f aca="false">IF(74&lt;5,0,IF(MAX(BU39:BZ39)&gt;BZ44+4+$B$18,1,0))</f>
        <v>0</v>
      </c>
      <c r="CA65" s="385" t="n">
        <f aca="false">IF(75&lt;5,0,IF(MAX(BV39:CA39)&gt;CA44+4+$B$18,1,0))</f>
        <v>0</v>
      </c>
      <c r="CB65" s="385" t="n">
        <f aca="false">IF(76&lt;5,0,IF(MAX(BW39:CB39)&gt;CB44+4+$B$18,1,0))</f>
        <v>0</v>
      </c>
      <c r="CC65" s="385" t="n">
        <f aca="false">IF(77&lt;5,0,IF(MAX(BX39:CC39)&gt;CC44+4+$B$18,1,0))</f>
        <v>0</v>
      </c>
      <c r="CD65" s="385" t="n">
        <f aca="false">IF(78&lt;5,0,IF(MAX(BY39:CD39)&gt;CD44+4+$B$18,1,0))</f>
        <v>0</v>
      </c>
      <c r="CE65" s="385" t="n">
        <f aca="false">IF(79&lt;5,0,IF(MAX(BZ39:CE39)&gt;CE44+4+$B$18,1,0))</f>
        <v>0</v>
      </c>
      <c r="CF65" s="385" t="n">
        <f aca="false">IF(80&lt;5,0,IF(MAX(CA39:CF39)&gt;CF44+4+$B$18,1,0))</f>
        <v>0</v>
      </c>
      <c r="CG65" s="385" t="n">
        <f aca="false">IF(81&lt;5,0,IF(MAX(CB39:CG39)&gt;CG44+4+$B$18,1,0))</f>
        <v>0</v>
      </c>
      <c r="CH65" s="385" t="n">
        <f aca="false">IF(82&lt;5,0,IF(MAX(CC39:CH39)&gt;CH44+4+$B$18,1,0))</f>
        <v>0</v>
      </c>
      <c r="CI65" s="385" t="n">
        <f aca="false">IF(83&lt;5,0,IF(MAX(CD39:CI39)&gt;CI44+4+$B$18,1,0))</f>
        <v>0</v>
      </c>
      <c r="CJ65" s="385" t="n">
        <f aca="false">IF(84&lt;5,0,IF(MAX(CE39:CJ39)&gt;CJ44+4+$B$18,1,0))</f>
        <v>0</v>
      </c>
      <c r="CK65" s="385" t="n">
        <f aca="false">IF(85&lt;5,0,IF(MAX(CF39:CK39)&gt;CK44+4+$B$18,1,0))</f>
        <v>0</v>
      </c>
      <c r="CL65" s="385" t="n">
        <f aca="false">IF(86&lt;5,0,IF(MAX(CG39:CL39)&gt;CL44+4+$B$18,1,0))</f>
        <v>0</v>
      </c>
      <c r="CM65" s="385" t="n">
        <f aca="false">IF(87&lt;5,0,IF(MAX(CH39:CM39)&gt;CM44+4+$B$18,1,0))</f>
        <v>0</v>
      </c>
      <c r="CN65" s="385" t="n">
        <f aca="false">IF(88&lt;5,0,IF(MAX(CI39:CN39)&gt;CN44+4+$B$18,1,0))</f>
        <v>0</v>
      </c>
      <c r="CO65" s="385" t="n">
        <f aca="false">IF(89&lt;5,0,IF(MAX(CJ39:CO39)&gt;CO44+4+$B$18,1,0))</f>
        <v>0</v>
      </c>
      <c r="CP65" s="385" t="n">
        <f aca="false">IF(90&lt;5,0,IF(MAX(CK39:CP39)&gt;CP44+4+$B$18,1,0))</f>
        <v>0</v>
      </c>
      <c r="CQ65" s="385" t="n">
        <f aca="false">IF(91&lt;5,0,IF(MAX(CL39:CQ39)&gt;CQ44+4+$B$18,1,0))</f>
        <v>0</v>
      </c>
      <c r="CR65" s="385" t="n">
        <f aca="false">IF(92&lt;5,0,IF(MAX(CM39:CR39)&gt;CR44+4+$B$18,1,0))</f>
        <v>0</v>
      </c>
      <c r="CS65" s="385" t="n">
        <f aca="false">IF(93&lt;5,0,IF(MAX(CN39:CS39)&gt;CS44+4+$B$18,1,0))</f>
        <v>0</v>
      </c>
      <c r="CT65" s="385" t="n">
        <f aca="false">IF(94&lt;5,0,IF(MAX(CO39:CT39)&gt;CT44+4+$B$18,1,0))</f>
        <v>0</v>
      </c>
      <c r="CU65" s="385" t="n">
        <f aca="false">IF(95&lt;5,0,IF(MAX(CP39:CU39)&gt;CU44+4+$B$18,1,0))</f>
        <v>0</v>
      </c>
      <c r="CV65" s="385" t="n">
        <f aca="false">IF(96&lt;5,0,IF(MAX(CQ39:CV39)&gt;CV44+4+$B$18,1,0))</f>
        <v>0</v>
      </c>
      <c r="CW65" s="385" t="n">
        <f aca="false">IF(97&lt;5,0,IF(MAX(CR39:CW39)&gt;CW44+4+$B$18,1,0))</f>
        <v>0</v>
      </c>
      <c r="CX65" s="385" t="n">
        <f aca="false">IF(98&lt;5,0,IF(MAX(CS39:CX39)&gt;CX44+4+$B$18,1,0))</f>
        <v>0</v>
      </c>
      <c r="CY65" s="385" t="n">
        <f aca="false">IF(99&lt;5,0,IF(MAX(CT39:CY39)&gt;CY44+4+$B$18,1,0))</f>
        <v>0</v>
      </c>
      <c r="CZ65" s="385" t="n">
        <f aca="false">IF(100&lt;5,0,IF(MAX(CU39:CZ39)&gt;CZ44+4+$B$18,1,0))</f>
        <v>0</v>
      </c>
      <c r="DA65" s="385" t="n">
        <f aca="false">IF(101&lt;5,0,IF(MAX(CV39:DA39)&gt;DA44+4+$B$18,1,0))</f>
        <v>0</v>
      </c>
      <c r="DB65" s="385" t="n">
        <f aca="false">IF(102&lt;5,0,IF(MAX(CW39:DB39)&gt;DB44+4+$B$18,1,0))</f>
        <v>0</v>
      </c>
      <c r="DC65" s="385" t="n">
        <f aca="false">IF(103&lt;5,0,IF(MAX(CX39:DC39)&gt;DC44+4+$B$18,1,0))</f>
        <v>0</v>
      </c>
      <c r="DD65" s="385" t="n">
        <f aca="false">IF(104&lt;5,0,IF(MAX(CY39:DD39)&gt;DD44+4+$B$18,1,0))</f>
        <v>0</v>
      </c>
      <c r="DE65" s="385" t="n">
        <f aca="false">IF(105&lt;5,0,IF(MAX(CZ39:DE39)&gt;DE44+4+$B$18,1,0))</f>
        <v>0</v>
      </c>
    </row>
    <row r="66" customFormat="false" ht="13.5" hidden="false" customHeight="true" outlineLevel="0" collapsed="false">
      <c r="A66" s="110" t="s">
        <v>1400</v>
      </c>
      <c r="B66" s="213" t="n">
        <f aca="false">$B$28</f>
        <v>130000</v>
      </c>
      <c r="E66" s="385" t="n">
        <f aca="false">IF(1&lt;5,0,IF(MAX(E39)&gt;E44+5+$B$18,1,0))</f>
        <v>0</v>
      </c>
      <c r="F66" s="385" t="n">
        <f aca="false">IF(2&lt;5,0,IF(MAX(E39:F39)&gt;F44+5+$B$18,1,0))</f>
        <v>0</v>
      </c>
      <c r="G66" s="385" t="n">
        <f aca="false">IF(3&lt;5,0,IF(MAX(E39:G39)&gt;G44+5+$B$18,1,0))</f>
        <v>0</v>
      </c>
      <c r="H66" s="385" t="n">
        <f aca="false">IF(4&lt;5,0,IF(MAX(E39:H39)&gt;H44+5+$B$18,1,0))</f>
        <v>0</v>
      </c>
      <c r="I66" s="385" t="n">
        <f aca="false">IF(5&lt;5,0,IF(MAX(E39:I39)&gt;I44+5+$B$18,1,0))</f>
        <v>0</v>
      </c>
      <c r="J66" s="385" t="n">
        <f aca="false">IF(6&lt;5,0,IF(MAX(E39:J39)&gt;J44+5+$B$18,1,0))</f>
        <v>0</v>
      </c>
      <c r="K66" s="385" t="n">
        <f aca="false">IF(7&lt;5,0,IF(MAX(F39:K39)&gt;K44+5+$B$18,1,0))</f>
        <v>0</v>
      </c>
      <c r="L66" s="385" t="n">
        <f aca="false">IF(8&lt;5,0,IF(MAX(G39:L39)&gt;L44+5+$B$18,1,0))</f>
        <v>0</v>
      </c>
      <c r="M66" s="385" t="n">
        <f aca="false">IF(9&lt;5,0,IF(MAX(H39:M39)&gt;M44+5+$B$18,1,0))</f>
        <v>0</v>
      </c>
      <c r="N66" s="385" t="n">
        <f aca="false">IF(10&lt;5,0,IF(MAX(I39:N39)&gt;N44+5+$B$18,1,0))</f>
        <v>0</v>
      </c>
      <c r="O66" s="385" t="n">
        <f aca="false">IF(11&lt;5,0,IF(MAX(J39:O39)&gt;O44+5+$B$18,1,0))</f>
        <v>0</v>
      </c>
      <c r="P66" s="385" t="n">
        <f aca="false">IF(12&lt;5,0,IF(MAX(K39:P39)&gt;P44+5+$B$18,1,0))</f>
        <v>0</v>
      </c>
      <c r="Q66" s="385" t="n">
        <f aca="false">IF(13&lt;5,0,IF(MAX(L39:Q39)&gt;Q44+5+$B$18,1,0))</f>
        <v>0</v>
      </c>
      <c r="R66" s="385" t="n">
        <f aca="false">IF(14&lt;5,0,IF(MAX(M39:R39)&gt;R44+5+$B$18,1,0))</f>
        <v>0</v>
      </c>
      <c r="S66" s="385" t="n">
        <f aca="false">IF(15&lt;5,0,IF(MAX(N39:S39)&gt;S44+5+$B$18,1,0))</f>
        <v>0</v>
      </c>
      <c r="T66" s="385" t="n">
        <f aca="false">IF(16&lt;5,0,IF(MAX(O39:T39)&gt;T44+5+$B$18,1,0))</f>
        <v>0</v>
      </c>
      <c r="U66" s="385" t="n">
        <f aca="false">IF(17&lt;5,0,IF(MAX(P39:U39)&gt;U44+5+$B$18,1,0))</f>
        <v>0</v>
      </c>
      <c r="V66" s="385" t="n">
        <f aca="false">IF(18&lt;5,0,IF(MAX(Q39:V39)&gt;V44+5+$B$18,1,0))</f>
        <v>0</v>
      </c>
      <c r="W66" s="385" t="n">
        <f aca="false">IF(19&lt;5,0,IF(MAX(R39:W39)&gt;W44+5+$B$18,1,0))</f>
        <v>0</v>
      </c>
      <c r="X66" s="385" t="n">
        <f aca="false">IF(20&lt;5,0,IF(MAX(S39:X39)&gt;X44+5+$B$18,1,0))</f>
        <v>0</v>
      </c>
      <c r="Y66" s="385" t="n">
        <f aca="false">IF(21&lt;5,0,IF(MAX(T39:Y39)&gt;Y44+5+$B$18,1,0))</f>
        <v>0</v>
      </c>
      <c r="Z66" s="385" t="n">
        <f aca="false">IF(22&lt;5,0,IF(MAX(U39:Z39)&gt;Z44+5+$B$18,1,0))</f>
        <v>0</v>
      </c>
      <c r="AA66" s="385" t="n">
        <f aca="false">IF(23&lt;5,0,IF(MAX(V39:AA39)&gt;AA44+5+$B$18,1,0))</f>
        <v>0</v>
      </c>
      <c r="AB66" s="385" t="n">
        <f aca="false">IF(24&lt;5,0,IF(MAX(W39:AB39)&gt;AB44+5+$B$18,1,0))</f>
        <v>0</v>
      </c>
      <c r="AC66" s="385" t="n">
        <f aca="false">IF(25&lt;5,0,IF(MAX(X39:AC39)&gt;AC44+5+$B$18,1,0))</f>
        <v>0</v>
      </c>
      <c r="AD66" s="385" t="n">
        <f aca="false">IF(26&lt;5,0,IF(MAX(Y39:AD39)&gt;AD44+5+$B$18,1,0))</f>
        <v>0</v>
      </c>
      <c r="AE66" s="385" t="n">
        <f aca="false">IF(27&lt;5,0,IF(MAX(Z39:AE39)&gt;AE44+5+$B$18,1,0))</f>
        <v>0</v>
      </c>
      <c r="AF66" s="385" t="n">
        <f aca="false">IF(28&lt;5,0,IF(MAX(AA39:AF39)&gt;AF44+5+$B$18,1,0))</f>
        <v>0</v>
      </c>
      <c r="AG66" s="385" t="n">
        <f aca="false">IF(29&lt;5,0,IF(MAX(AB39:AG39)&gt;AG44+5+$B$18,1,0))</f>
        <v>0</v>
      </c>
      <c r="AH66" s="385" t="n">
        <f aca="false">IF(30&lt;5,0,IF(MAX(AC39:AH39)&gt;AH44+5+$B$18,1,0))</f>
        <v>0</v>
      </c>
      <c r="AI66" s="385" t="n">
        <f aca="false">IF(31&lt;5,0,IF(MAX(AD39:AI39)&gt;AI44+5+$B$18,1,0))</f>
        <v>0</v>
      </c>
      <c r="AJ66" s="385" t="n">
        <f aca="false">IF(32&lt;5,0,IF(MAX(AE39:AJ39)&gt;AJ44+5+$B$18,1,0))</f>
        <v>0</v>
      </c>
      <c r="AK66" s="385" t="n">
        <f aca="false">IF(33&lt;5,0,IF(MAX(AF39:AK39)&gt;AK44+5+$B$18,1,0))</f>
        <v>0</v>
      </c>
      <c r="AL66" s="385" t="n">
        <f aca="false">IF(34&lt;5,0,IF(MAX(AG39:AL39)&gt;AL44+5+$B$18,1,0))</f>
        <v>0</v>
      </c>
      <c r="AM66" s="385" t="n">
        <f aca="false">IF(35&lt;5,0,IF(MAX(AH39:AM39)&gt;AM44+5+$B$18,1,0))</f>
        <v>0</v>
      </c>
      <c r="AN66" s="385" t="n">
        <f aca="false">IF(36&lt;5,0,IF(MAX(AI39:AN39)&gt;AN44+5+$B$18,1,0))</f>
        <v>0</v>
      </c>
      <c r="AO66" s="385" t="n">
        <f aca="false">IF(37&lt;5,0,IF(MAX(AJ39:AO39)&gt;AO44+5+$B$18,1,0))</f>
        <v>0</v>
      </c>
      <c r="AP66" s="385" t="n">
        <f aca="false">IF(38&lt;5,0,IF(MAX(AK39:AP39)&gt;AP44+5+$B$18,1,0))</f>
        <v>0</v>
      </c>
      <c r="AQ66" s="385" t="n">
        <f aca="false">IF(39&lt;5,0,IF(MAX(AL39:AQ39)&gt;AQ44+5+$B$18,1,0))</f>
        <v>0</v>
      </c>
      <c r="AR66" s="385" t="n">
        <f aca="false">IF(40&lt;5,0,IF(MAX(AM39:AR39)&gt;AR44+5+$B$18,1,0))</f>
        <v>0</v>
      </c>
      <c r="AS66" s="385" t="n">
        <f aca="false">IF(41&lt;5,0,IF(MAX(AN39:AS39)&gt;AS44+5+$B$18,1,0))</f>
        <v>0</v>
      </c>
      <c r="AT66" s="385" t="n">
        <f aca="false">IF(42&lt;5,0,IF(MAX(AO39:AT39)&gt;AT44+5+$B$18,1,0))</f>
        <v>0</v>
      </c>
      <c r="AU66" s="385" t="n">
        <f aca="false">IF(43&lt;5,0,IF(MAX(AP39:AU39)&gt;AU44+5+$B$18,1,0))</f>
        <v>0</v>
      </c>
      <c r="AV66" s="385" t="n">
        <f aca="false">IF(44&lt;5,0,IF(MAX(AQ39:AV39)&gt;AV44+5+$B$18,1,0))</f>
        <v>0</v>
      </c>
      <c r="AW66" s="385" t="n">
        <f aca="false">IF(45&lt;5,0,IF(MAX(AR39:AW39)&gt;AW44+5+$B$18,1,0))</f>
        <v>0</v>
      </c>
      <c r="AX66" s="385" t="n">
        <f aca="false">IF(46&lt;5,0,IF(MAX(AS39:AX39)&gt;AX44+5+$B$18,1,0))</f>
        <v>0</v>
      </c>
      <c r="AY66" s="385" t="n">
        <f aca="false">IF(47&lt;5,0,IF(MAX(AT39:AY39)&gt;AY44+5+$B$18,1,0))</f>
        <v>0</v>
      </c>
      <c r="AZ66" s="385" t="n">
        <f aca="false">IF(48&lt;5,0,IF(MAX(AU39:AZ39)&gt;AZ44+5+$B$18,1,0))</f>
        <v>0</v>
      </c>
      <c r="BA66" s="385" t="n">
        <f aca="false">IF(49&lt;5,0,IF(MAX(AV39:BA39)&gt;BA44+5+$B$18,1,0))</f>
        <v>0</v>
      </c>
      <c r="BB66" s="385" t="n">
        <f aca="false">IF(50&lt;5,0,IF(MAX(AW39:BB39)&gt;BB44+5+$B$18,1,0))</f>
        <v>0</v>
      </c>
      <c r="BC66" s="385" t="n">
        <f aca="false">IF(51&lt;5,0,IF(MAX(AX39:BC39)&gt;BC44+5+$B$18,1,0))</f>
        <v>0</v>
      </c>
      <c r="BD66" s="385" t="n">
        <f aca="false">IF(52&lt;5,0,IF(MAX(AY39:BD39)&gt;BD44+5+$B$18,1,0))</f>
        <v>0</v>
      </c>
      <c r="BE66" s="385" t="n">
        <f aca="false">IF(53&lt;5,0,IF(MAX(AZ39:BE39)&gt;BE44+5+$B$18,1,0))</f>
        <v>0</v>
      </c>
      <c r="BF66" s="385" t="n">
        <f aca="false">IF(54&lt;5,0,IF(MAX(BA39:BF39)&gt;BF44+5+$B$18,1,0))</f>
        <v>0</v>
      </c>
      <c r="BG66" s="385" t="n">
        <f aca="false">IF(55&lt;5,0,IF(MAX(BB39:BG39)&gt;BG44+5+$B$18,1,0))</f>
        <v>0</v>
      </c>
      <c r="BH66" s="385" t="n">
        <f aca="false">IF(56&lt;5,0,IF(MAX(BC39:BH39)&gt;BH44+5+$B$18,1,0))</f>
        <v>0</v>
      </c>
      <c r="BI66" s="385" t="n">
        <f aca="false">IF(57&lt;5,0,IF(MAX(BD39:BI39)&gt;BI44+5+$B$18,1,0))</f>
        <v>0</v>
      </c>
      <c r="BJ66" s="385" t="n">
        <f aca="false">IF(58&lt;5,0,IF(MAX(BE39:BJ39)&gt;BJ44+5+$B$18,1,0))</f>
        <v>0</v>
      </c>
      <c r="BK66" s="385" t="n">
        <f aca="false">IF(59&lt;5,0,IF(MAX(BF39:BK39)&gt;BK44+5+$B$18,1,0))</f>
        <v>0</v>
      </c>
      <c r="BL66" s="385" t="n">
        <f aca="false">IF(60&lt;5,0,IF(MAX(BG39:BL39)&gt;BL44+5+$B$18,1,0))</f>
        <v>0</v>
      </c>
      <c r="BM66" s="385" t="n">
        <f aca="false">IF(61&lt;5,0,IF(MAX(BH39:BM39)&gt;BM44+5+$B$18,1,0))</f>
        <v>0</v>
      </c>
      <c r="BN66" s="385" t="n">
        <f aca="false">IF(62&lt;5,0,IF(MAX(BI39:BN39)&gt;BN44+5+$B$18,1,0))</f>
        <v>0</v>
      </c>
      <c r="BO66" s="385" t="n">
        <f aca="false">IF(63&lt;5,0,IF(MAX(BJ39:BO39)&gt;BO44+5+$B$18,1,0))</f>
        <v>0</v>
      </c>
      <c r="BP66" s="385" t="n">
        <f aca="false">IF(64&lt;5,0,IF(MAX(BK39:BP39)&gt;BP44+5+$B$18,1,0))</f>
        <v>0</v>
      </c>
      <c r="BQ66" s="385" t="n">
        <f aca="false">IF(65&lt;5,0,IF(MAX(BL39:BQ39)&gt;BQ44+5+$B$18,1,0))</f>
        <v>0</v>
      </c>
      <c r="BR66" s="385" t="n">
        <f aca="false">IF(66&lt;5,0,IF(MAX(BM39:BR39)&gt;BR44+5+$B$18,1,0))</f>
        <v>0</v>
      </c>
      <c r="BS66" s="385" t="n">
        <f aca="false">IF(67&lt;5,0,IF(MAX(BN39:BS39)&gt;BS44+5+$B$18,1,0))</f>
        <v>0</v>
      </c>
      <c r="BT66" s="385" t="n">
        <f aca="false">IF(68&lt;5,0,IF(MAX(BO39:BT39)&gt;BT44+5+$B$18,1,0))</f>
        <v>0</v>
      </c>
      <c r="BU66" s="385" t="n">
        <f aca="false">IF(69&lt;5,0,IF(MAX(BP39:BU39)&gt;BU44+5+$B$18,1,0))</f>
        <v>0</v>
      </c>
      <c r="BV66" s="385" t="n">
        <f aca="false">IF(70&lt;5,0,IF(MAX(BQ39:BV39)&gt;BV44+5+$B$18,1,0))</f>
        <v>0</v>
      </c>
      <c r="BW66" s="385" t="n">
        <f aca="false">IF(71&lt;5,0,IF(MAX(BR39:BW39)&gt;BW44+5+$B$18,1,0))</f>
        <v>0</v>
      </c>
      <c r="BX66" s="385" t="n">
        <f aca="false">IF(72&lt;5,0,IF(MAX(BS39:BX39)&gt;BX44+5+$B$18,1,0))</f>
        <v>0</v>
      </c>
      <c r="BY66" s="385" t="n">
        <f aca="false">IF(73&lt;5,0,IF(MAX(BT39:BY39)&gt;BY44+5+$B$18,1,0))</f>
        <v>0</v>
      </c>
      <c r="BZ66" s="385" t="n">
        <f aca="false">IF(74&lt;5,0,IF(MAX(BU39:BZ39)&gt;BZ44+5+$B$18,1,0))</f>
        <v>0</v>
      </c>
      <c r="CA66" s="385" t="n">
        <f aca="false">IF(75&lt;5,0,IF(MAX(BV39:CA39)&gt;CA44+5+$B$18,1,0))</f>
        <v>0</v>
      </c>
      <c r="CB66" s="385" t="n">
        <f aca="false">IF(76&lt;5,0,IF(MAX(BW39:CB39)&gt;CB44+5+$B$18,1,0))</f>
        <v>0</v>
      </c>
      <c r="CC66" s="385" t="n">
        <f aca="false">IF(77&lt;5,0,IF(MAX(BX39:CC39)&gt;CC44+5+$B$18,1,0))</f>
        <v>0</v>
      </c>
      <c r="CD66" s="385" t="n">
        <f aca="false">IF(78&lt;5,0,IF(MAX(BY39:CD39)&gt;CD44+5+$B$18,1,0))</f>
        <v>0</v>
      </c>
      <c r="CE66" s="385" t="n">
        <f aca="false">IF(79&lt;5,0,IF(MAX(BZ39:CE39)&gt;CE44+5+$B$18,1,0))</f>
        <v>0</v>
      </c>
      <c r="CF66" s="385" t="n">
        <f aca="false">IF(80&lt;5,0,IF(MAX(CA39:CF39)&gt;CF44+5+$B$18,1,0))</f>
        <v>0</v>
      </c>
      <c r="CG66" s="385" t="n">
        <f aca="false">IF(81&lt;5,0,IF(MAX(CB39:CG39)&gt;CG44+5+$B$18,1,0))</f>
        <v>0</v>
      </c>
      <c r="CH66" s="385" t="n">
        <f aca="false">IF(82&lt;5,0,IF(MAX(CC39:CH39)&gt;CH44+5+$B$18,1,0))</f>
        <v>0</v>
      </c>
      <c r="CI66" s="385" t="n">
        <f aca="false">IF(83&lt;5,0,IF(MAX(CD39:CI39)&gt;CI44+5+$B$18,1,0))</f>
        <v>0</v>
      </c>
      <c r="CJ66" s="385" t="n">
        <f aca="false">IF(84&lt;5,0,IF(MAX(CE39:CJ39)&gt;CJ44+5+$B$18,1,0))</f>
        <v>0</v>
      </c>
      <c r="CK66" s="385" t="n">
        <f aca="false">IF(85&lt;5,0,IF(MAX(CF39:CK39)&gt;CK44+5+$B$18,1,0))</f>
        <v>0</v>
      </c>
      <c r="CL66" s="385" t="n">
        <f aca="false">IF(86&lt;5,0,IF(MAX(CG39:CL39)&gt;CL44+5+$B$18,1,0))</f>
        <v>0</v>
      </c>
      <c r="CM66" s="385" t="n">
        <f aca="false">IF(87&lt;5,0,IF(MAX(CH39:CM39)&gt;CM44+5+$B$18,1,0))</f>
        <v>0</v>
      </c>
      <c r="CN66" s="385" t="n">
        <f aca="false">IF(88&lt;5,0,IF(MAX(CI39:CN39)&gt;CN44+5+$B$18,1,0))</f>
        <v>0</v>
      </c>
      <c r="CO66" s="385" t="n">
        <f aca="false">IF(89&lt;5,0,IF(MAX(CJ39:CO39)&gt;CO44+5+$B$18,1,0))</f>
        <v>0</v>
      </c>
      <c r="CP66" s="385" t="n">
        <f aca="false">IF(90&lt;5,0,IF(MAX(CK39:CP39)&gt;CP44+5+$B$18,1,0))</f>
        <v>0</v>
      </c>
      <c r="CQ66" s="385" t="n">
        <f aca="false">IF(91&lt;5,0,IF(MAX(CL39:CQ39)&gt;CQ44+5+$B$18,1,0))</f>
        <v>0</v>
      </c>
      <c r="CR66" s="385" t="n">
        <f aca="false">IF(92&lt;5,0,IF(MAX(CM39:CR39)&gt;CR44+5+$B$18,1,0))</f>
        <v>0</v>
      </c>
      <c r="CS66" s="385" t="n">
        <f aca="false">IF(93&lt;5,0,IF(MAX(CN39:CS39)&gt;CS44+5+$B$18,1,0))</f>
        <v>0</v>
      </c>
      <c r="CT66" s="385" t="n">
        <f aca="false">IF(94&lt;5,0,IF(MAX(CO39:CT39)&gt;CT44+5+$B$18,1,0))</f>
        <v>0</v>
      </c>
      <c r="CU66" s="385" t="n">
        <f aca="false">IF(95&lt;5,0,IF(MAX(CP39:CU39)&gt;CU44+5+$B$18,1,0))</f>
        <v>0</v>
      </c>
      <c r="CV66" s="385" t="n">
        <f aca="false">IF(96&lt;5,0,IF(MAX(CQ39:CV39)&gt;CV44+5+$B$18,1,0))</f>
        <v>0</v>
      </c>
      <c r="CW66" s="385" t="n">
        <f aca="false">IF(97&lt;5,0,IF(MAX(CR39:CW39)&gt;CW44+5+$B$18,1,0))</f>
        <v>0</v>
      </c>
      <c r="CX66" s="385" t="n">
        <f aca="false">IF(98&lt;5,0,IF(MAX(CS39:CX39)&gt;CX44+5+$B$18,1,0))</f>
        <v>0</v>
      </c>
      <c r="CY66" s="385" t="n">
        <f aca="false">IF(99&lt;5,0,IF(MAX(CT39:CY39)&gt;CY44+5+$B$18,1,0))</f>
        <v>0</v>
      </c>
      <c r="CZ66" s="385" t="n">
        <f aca="false">IF(100&lt;5,0,IF(MAX(CU39:CZ39)&gt;CZ44+5+$B$18,1,0))</f>
        <v>0</v>
      </c>
      <c r="DA66" s="385" t="n">
        <f aca="false">IF(101&lt;5,0,IF(MAX(CV39:DA39)&gt;DA44+5+$B$18,1,0))</f>
        <v>0</v>
      </c>
      <c r="DB66" s="385" t="n">
        <f aca="false">IF(102&lt;5,0,IF(MAX(CW39:DB39)&gt;DB44+5+$B$18,1,0))</f>
        <v>0</v>
      </c>
      <c r="DC66" s="385" t="n">
        <f aca="false">IF(103&lt;5,0,IF(MAX(CX39:DC39)&gt;DC44+5+$B$18,1,0))</f>
        <v>0</v>
      </c>
      <c r="DD66" s="385" t="n">
        <f aca="false">IF(104&lt;5,0,IF(MAX(CY39:DD39)&gt;DD44+5+$B$18,1,0))</f>
        <v>0</v>
      </c>
      <c r="DE66" s="385" t="n">
        <f aca="false">IF(105&lt;5,0,IF(MAX(CZ39:DE39)&gt;DE44+5+$B$18,1,0))</f>
        <v>0</v>
      </c>
    </row>
    <row r="67" customFormat="false" ht="13.5" hidden="false" customHeight="true" outlineLevel="0" collapsed="false">
      <c r="A67" s="110" t="s">
        <v>1401</v>
      </c>
      <c r="B67" s="213" t="n">
        <f aca="false">$B$28</f>
        <v>130000</v>
      </c>
      <c r="E67" s="385" t="n">
        <f aca="false">IF(1&lt;5,0,IF(MAX(E39)&gt;E44+6+$B$18,1,0))</f>
        <v>0</v>
      </c>
      <c r="F67" s="385" t="n">
        <f aca="false">IF(2&lt;5,0,IF(MAX(E39:F39)&gt;F44+6+$B$18,1,0))</f>
        <v>0</v>
      </c>
      <c r="G67" s="385" t="n">
        <f aca="false">IF(3&lt;5,0,IF(MAX(E39:G39)&gt;G44+6+$B$18,1,0))</f>
        <v>0</v>
      </c>
      <c r="H67" s="385" t="n">
        <f aca="false">IF(4&lt;5,0,IF(MAX(E39:H39)&gt;H44+6+$B$18,1,0))</f>
        <v>0</v>
      </c>
      <c r="I67" s="385" t="n">
        <f aca="false">IF(5&lt;5,0,IF(MAX(E39:I39)&gt;I44+6+$B$18,1,0))</f>
        <v>0</v>
      </c>
      <c r="J67" s="385" t="n">
        <f aca="false">IF(6&lt;5,0,IF(MAX(E39:J39)&gt;J44+6+$B$18,1,0))</f>
        <v>0</v>
      </c>
      <c r="K67" s="385" t="n">
        <f aca="false">IF(7&lt;5,0,IF(MAX(F39:K39)&gt;K44+6+$B$18,1,0))</f>
        <v>0</v>
      </c>
      <c r="L67" s="385" t="n">
        <f aca="false">IF(8&lt;5,0,IF(MAX(G39:L39)&gt;L44+6+$B$18,1,0))</f>
        <v>0</v>
      </c>
      <c r="M67" s="385" t="n">
        <f aca="false">IF(9&lt;5,0,IF(MAX(H39:M39)&gt;M44+6+$B$18,1,0))</f>
        <v>0</v>
      </c>
      <c r="N67" s="385" t="n">
        <f aca="false">IF(10&lt;5,0,IF(MAX(I39:N39)&gt;N44+6+$B$18,1,0))</f>
        <v>0</v>
      </c>
      <c r="O67" s="385" t="n">
        <f aca="false">IF(11&lt;5,0,IF(MAX(J39:O39)&gt;O44+6+$B$18,1,0))</f>
        <v>0</v>
      </c>
      <c r="P67" s="385" t="n">
        <f aca="false">IF(12&lt;5,0,IF(MAX(K39:P39)&gt;P44+6+$B$18,1,0))</f>
        <v>0</v>
      </c>
      <c r="Q67" s="385" t="n">
        <f aca="false">IF(13&lt;5,0,IF(MAX(L39:Q39)&gt;Q44+6+$B$18,1,0))</f>
        <v>0</v>
      </c>
      <c r="R67" s="385" t="n">
        <f aca="false">IF(14&lt;5,0,IF(MAX(M39:R39)&gt;R44+6+$B$18,1,0))</f>
        <v>0</v>
      </c>
      <c r="S67" s="385" t="n">
        <f aca="false">IF(15&lt;5,0,IF(MAX(N39:S39)&gt;S44+6+$B$18,1,0))</f>
        <v>0</v>
      </c>
      <c r="T67" s="385" t="n">
        <f aca="false">IF(16&lt;5,0,IF(MAX(O39:T39)&gt;T44+6+$B$18,1,0))</f>
        <v>0</v>
      </c>
      <c r="U67" s="385" t="n">
        <f aca="false">IF(17&lt;5,0,IF(MAX(P39:U39)&gt;U44+6+$B$18,1,0))</f>
        <v>0</v>
      </c>
      <c r="V67" s="385" t="n">
        <f aca="false">IF(18&lt;5,0,IF(MAX(Q39:V39)&gt;V44+6+$B$18,1,0))</f>
        <v>0</v>
      </c>
      <c r="W67" s="385" t="n">
        <f aca="false">IF(19&lt;5,0,IF(MAX(R39:W39)&gt;W44+6+$B$18,1,0))</f>
        <v>0</v>
      </c>
      <c r="X67" s="385" t="n">
        <f aca="false">IF(20&lt;5,0,IF(MAX(S39:X39)&gt;X44+6+$B$18,1,0))</f>
        <v>0</v>
      </c>
      <c r="Y67" s="385" t="n">
        <f aca="false">IF(21&lt;5,0,IF(MAX(T39:Y39)&gt;Y44+6+$B$18,1,0))</f>
        <v>0</v>
      </c>
      <c r="Z67" s="385" t="n">
        <f aca="false">IF(22&lt;5,0,IF(MAX(U39:Z39)&gt;Z44+6+$B$18,1,0))</f>
        <v>0</v>
      </c>
      <c r="AA67" s="385" t="n">
        <f aca="false">IF(23&lt;5,0,IF(MAX(V39:AA39)&gt;AA44+6+$B$18,1,0))</f>
        <v>0</v>
      </c>
      <c r="AB67" s="385" t="n">
        <f aca="false">IF(24&lt;5,0,IF(MAX(W39:AB39)&gt;AB44+6+$B$18,1,0))</f>
        <v>0</v>
      </c>
      <c r="AC67" s="385" t="n">
        <f aca="false">IF(25&lt;5,0,IF(MAX(X39:AC39)&gt;AC44+6+$B$18,1,0))</f>
        <v>0</v>
      </c>
      <c r="AD67" s="385" t="n">
        <f aca="false">IF(26&lt;5,0,IF(MAX(Y39:AD39)&gt;AD44+6+$B$18,1,0))</f>
        <v>0</v>
      </c>
      <c r="AE67" s="385" t="n">
        <f aca="false">IF(27&lt;5,0,IF(MAX(Z39:AE39)&gt;AE44+6+$B$18,1,0))</f>
        <v>0</v>
      </c>
      <c r="AF67" s="385" t="n">
        <f aca="false">IF(28&lt;5,0,IF(MAX(AA39:AF39)&gt;AF44+6+$B$18,1,0))</f>
        <v>0</v>
      </c>
      <c r="AG67" s="385" t="n">
        <f aca="false">IF(29&lt;5,0,IF(MAX(AB39:AG39)&gt;AG44+6+$B$18,1,0))</f>
        <v>0</v>
      </c>
      <c r="AH67" s="385" t="n">
        <f aca="false">IF(30&lt;5,0,IF(MAX(AC39:AH39)&gt;AH44+6+$B$18,1,0))</f>
        <v>0</v>
      </c>
      <c r="AI67" s="385" t="n">
        <f aca="false">IF(31&lt;5,0,IF(MAX(AD39:AI39)&gt;AI44+6+$B$18,1,0))</f>
        <v>0</v>
      </c>
      <c r="AJ67" s="385" t="n">
        <f aca="false">IF(32&lt;5,0,IF(MAX(AE39:AJ39)&gt;AJ44+6+$B$18,1,0))</f>
        <v>0</v>
      </c>
      <c r="AK67" s="385" t="n">
        <f aca="false">IF(33&lt;5,0,IF(MAX(AF39:AK39)&gt;AK44+6+$B$18,1,0))</f>
        <v>0</v>
      </c>
      <c r="AL67" s="385" t="n">
        <f aca="false">IF(34&lt;5,0,IF(MAX(AG39:AL39)&gt;AL44+6+$B$18,1,0))</f>
        <v>0</v>
      </c>
      <c r="AM67" s="385" t="n">
        <f aca="false">IF(35&lt;5,0,IF(MAX(AH39:AM39)&gt;AM44+6+$B$18,1,0))</f>
        <v>0</v>
      </c>
      <c r="AN67" s="385" t="n">
        <f aca="false">IF(36&lt;5,0,IF(MAX(AI39:AN39)&gt;AN44+6+$B$18,1,0))</f>
        <v>0</v>
      </c>
      <c r="AO67" s="385" t="n">
        <f aca="false">IF(37&lt;5,0,IF(MAX(AJ39:AO39)&gt;AO44+6+$B$18,1,0))</f>
        <v>0</v>
      </c>
      <c r="AP67" s="385" t="n">
        <f aca="false">IF(38&lt;5,0,IF(MAX(AK39:AP39)&gt;AP44+6+$B$18,1,0))</f>
        <v>0</v>
      </c>
      <c r="AQ67" s="385" t="n">
        <f aca="false">IF(39&lt;5,0,IF(MAX(AL39:AQ39)&gt;AQ44+6+$B$18,1,0))</f>
        <v>0</v>
      </c>
      <c r="AR67" s="385" t="n">
        <f aca="false">IF(40&lt;5,0,IF(MAX(AM39:AR39)&gt;AR44+6+$B$18,1,0))</f>
        <v>0</v>
      </c>
      <c r="AS67" s="385" t="n">
        <f aca="false">IF(41&lt;5,0,IF(MAX(AN39:AS39)&gt;AS44+6+$B$18,1,0))</f>
        <v>0</v>
      </c>
      <c r="AT67" s="385" t="n">
        <f aca="false">IF(42&lt;5,0,IF(MAX(AO39:AT39)&gt;AT44+6+$B$18,1,0))</f>
        <v>0</v>
      </c>
      <c r="AU67" s="385" t="n">
        <f aca="false">IF(43&lt;5,0,IF(MAX(AP39:AU39)&gt;AU44+6+$B$18,1,0))</f>
        <v>0</v>
      </c>
      <c r="AV67" s="385" t="n">
        <f aca="false">IF(44&lt;5,0,IF(MAX(AQ39:AV39)&gt;AV44+6+$B$18,1,0))</f>
        <v>0</v>
      </c>
      <c r="AW67" s="385" t="n">
        <f aca="false">IF(45&lt;5,0,IF(MAX(AR39:AW39)&gt;AW44+6+$B$18,1,0))</f>
        <v>0</v>
      </c>
      <c r="AX67" s="385" t="n">
        <f aca="false">IF(46&lt;5,0,IF(MAX(AS39:AX39)&gt;AX44+6+$B$18,1,0))</f>
        <v>0</v>
      </c>
      <c r="AY67" s="385" t="n">
        <f aca="false">IF(47&lt;5,0,IF(MAX(AT39:AY39)&gt;AY44+6+$B$18,1,0))</f>
        <v>0</v>
      </c>
      <c r="AZ67" s="385" t="n">
        <f aca="false">IF(48&lt;5,0,IF(MAX(AU39:AZ39)&gt;AZ44+6+$B$18,1,0))</f>
        <v>0</v>
      </c>
      <c r="BA67" s="385" t="n">
        <f aca="false">IF(49&lt;5,0,IF(MAX(AV39:BA39)&gt;BA44+6+$B$18,1,0))</f>
        <v>0</v>
      </c>
      <c r="BB67" s="385" t="n">
        <f aca="false">IF(50&lt;5,0,IF(MAX(AW39:BB39)&gt;BB44+6+$B$18,1,0))</f>
        <v>0</v>
      </c>
      <c r="BC67" s="385" t="n">
        <f aca="false">IF(51&lt;5,0,IF(MAX(AX39:BC39)&gt;BC44+6+$B$18,1,0))</f>
        <v>0</v>
      </c>
      <c r="BD67" s="385" t="n">
        <f aca="false">IF(52&lt;5,0,IF(MAX(AY39:BD39)&gt;BD44+6+$B$18,1,0))</f>
        <v>0</v>
      </c>
      <c r="BE67" s="385" t="n">
        <f aca="false">IF(53&lt;5,0,IF(MAX(AZ39:BE39)&gt;BE44+6+$B$18,1,0))</f>
        <v>0</v>
      </c>
      <c r="BF67" s="385" t="n">
        <f aca="false">IF(54&lt;5,0,IF(MAX(BA39:BF39)&gt;BF44+6+$B$18,1,0))</f>
        <v>0</v>
      </c>
      <c r="BG67" s="385" t="n">
        <f aca="false">IF(55&lt;5,0,IF(MAX(BB39:BG39)&gt;BG44+6+$B$18,1,0))</f>
        <v>0</v>
      </c>
      <c r="BH67" s="385" t="n">
        <f aca="false">IF(56&lt;5,0,IF(MAX(BC39:BH39)&gt;BH44+6+$B$18,1,0))</f>
        <v>0</v>
      </c>
      <c r="BI67" s="385" t="n">
        <f aca="false">IF(57&lt;5,0,IF(MAX(BD39:BI39)&gt;BI44+6+$B$18,1,0))</f>
        <v>0</v>
      </c>
      <c r="BJ67" s="385" t="n">
        <f aca="false">IF(58&lt;5,0,IF(MAX(BE39:BJ39)&gt;BJ44+6+$B$18,1,0))</f>
        <v>0</v>
      </c>
      <c r="BK67" s="385" t="n">
        <f aca="false">IF(59&lt;5,0,IF(MAX(BF39:BK39)&gt;BK44+6+$B$18,1,0))</f>
        <v>0</v>
      </c>
      <c r="BL67" s="385" t="n">
        <f aca="false">IF(60&lt;5,0,IF(MAX(BG39:BL39)&gt;BL44+6+$B$18,1,0))</f>
        <v>0</v>
      </c>
      <c r="BM67" s="385" t="n">
        <f aca="false">IF(61&lt;5,0,IF(MAX(BH39:BM39)&gt;BM44+6+$B$18,1,0))</f>
        <v>0</v>
      </c>
      <c r="BN67" s="385" t="n">
        <f aca="false">IF(62&lt;5,0,IF(MAX(BI39:BN39)&gt;BN44+6+$B$18,1,0))</f>
        <v>0</v>
      </c>
      <c r="BO67" s="385" t="n">
        <f aca="false">IF(63&lt;5,0,IF(MAX(BJ39:BO39)&gt;BO44+6+$B$18,1,0))</f>
        <v>0</v>
      </c>
      <c r="BP67" s="385" t="n">
        <f aca="false">IF(64&lt;5,0,IF(MAX(BK39:BP39)&gt;BP44+6+$B$18,1,0))</f>
        <v>0</v>
      </c>
      <c r="BQ67" s="385" t="n">
        <f aca="false">IF(65&lt;5,0,IF(MAX(BL39:BQ39)&gt;BQ44+6+$B$18,1,0))</f>
        <v>0</v>
      </c>
      <c r="BR67" s="385" t="n">
        <f aca="false">IF(66&lt;5,0,IF(MAX(BM39:BR39)&gt;BR44+6+$B$18,1,0))</f>
        <v>0</v>
      </c>
      <c r="BS67" s="385" t="n">
        <f aca="false">IF(67&lt;5,0,IF(MAX(BN39:BS39)&gt;BS44+6+$B$18,1,0))</f>
        <v>0</v>
      </c>
      <c r="BT67" s="385" t="n">
        <f aca="false">IF(68&lt;5,0,IF(MAX(BO39:BT39)&gt;BT44+6+$B$18,1,0))</f>
        <v>0</v>
      </c>
      <c r="BU67" s="385" t="n">
        <f aca="false">IF(69&lt;5,0,IF(MAX(BP39:BU39)&gt;BU44+6+$B$18,1,0))</f>
        <v>0</v>
      </c>
      <c r="BV67" s="385" t="n">
        <f aca="false">IF(70&lt;5,0,IF(MAX(BQ39:BV39)&gt;BV44+6+$B$18,1,0))</f>
        <v>0</v>
      </c>
      <c r="BW67" s="385" t="n">
        <f aca="false">IF(71&lt;5,0,IF(MAX(BR39:BW39)&gt;BW44+6+$B$18,1,0))</f>
        <v>0</v>
      </c>
      <c r="BX67" s="385" t="n">
        <f aca="false">IF(72&lt;5,0,IF(MAX(BS39:BX39)&gt;BX44+6+$B$18,1,0))</f>
        <v>0</v>
      </c>
      <c r="BY67" s="385" t="n">
        <f aca="false">IF(73&lt;5,0,IF(MAX(BT39:BY39)&gt;BY44+6+$B$18,1,0))</f>
        <v>0</v>
      </c>
      <c r="BZ67" s="385" t="n">
        <f aca="false">IF(74&lt;5,0,IF(MAX(BU39:BZ39)&gt;BZ44+6+$B$18,1,0))</f>
        <v>0</v>
      </c>
      <c r="CA67" s="385" t="n">
        <f aca="false">IF(75&lt;5,0,IF(MAX(BV39:CA39)&gt;CA44+6+$B$18,1,0))</f>
        <v>0</v>
      </c>
      <c r="CB67" s="385" t="n">
        <f aca="false">IF(76&lt;5,0,IF(MAX(BW39:CB39)&gt;CB44+6+$B$18,1,0))</f>
        <v>0</v>
      </c>
      <c r="CC67" s="385" t="n">
        <f aca="false">IF(77&lt;5,0,IF(MAX(BX39:CC39)&gt;CC44+6+$B$18,1,0))</f>
        <v>0</v>
      </c>
      <c r="CD67" s="385" t="n">
        <f aca="false">IF(78&lt;5,0,IF(MAX(BY39:CD39)&gt;CD44+6+$B$18,1,0))</f>
        <v>0</v>
      </c>
      <c r="CE67" s="385" t="n">
        <f aca="false">IF(79&lt;5,0,IF(MAX(BZ39:CE39)&gt;CE44+6+$B$18,1,0))</f>
        <v>0</v>
      </c>
      <c r="CF67" s="385" t="n">
        <f aca="false">IF(80&lt;5,0,IF(MAX(CA39:CF39)&gt;CF44+6+$B$18,1,0))</f>
        <v>0</v>
      </c>
      <c r="CG67" s="385" t="n">
        <f aca="false">IF(81&lt;5,0,IF(MAX(CB39:CG39)&gt;CG44+6+$B$18,1,0))</f>
        <v>0</v>
      </c>
      <c r="CH67" s="385" t="n">
        <f aca="false">IF(82&lt;5,0,IF(MAX(CC39:CH39)&gt;CH44+6+$B$18,1,0))</f>
        <v>0</v>
      </c>
      <c r="CI67" s="385" t="n">
        <f aca="false">IF(83&lt;5,0,IF(MAX(CD39:CI39)&gt;CI44+6+$B$18,1,0))</f>
        <v>0</v>
      </c>
      <c r="CJ67" s="385" t="n">
        <f aca="false">IF(84&lt;5,0,IF(MAX(CE39:CJ39)&gt;CJ44+6+$B$18,1,0))</f>
        <v>0</v>
      </c>
      <c r="CK67" s="385" t="n">
        <f aca="false">IF(85&lt;5,0,IF(MAX(CF39:CK39)&gt;CK44+6+$B$18,1,0))</f>
        <v>0</v>
      </c>
      <c r="CL67" s="385" t="n">
        <f aca="false">IF(86&lt;5,0,IF(MAX(CG39:CL39)&gt;CL44+6+$B$18,1,0))</f>
        <v>0</v>
      </c>
      <c r="CM67" s="385" t="n">
        <f aca="false">IF(87&lt;5,0,IF(MAX(CH39:CM39)&gt;CM44+6+$B$18,1,0))</f>
        <v>0</v>
      </c>
      <c r="CN67" s="385" t="n">
        <f aca="false">IF(88&lt;5,0,IF(MAX(CI39:CN39)&gt;CN44+6+$B$18,1,0))</f>
        <v>0</v>
      </c>
      <c r="CO67" s="385" t="n">
        <f aca="false">IF(89&lt;5,0,IF(MAX(CJ39:CO39)&gt;CO44+6+$B$18,1,0))</f>
        <v>0</v>
      </c>
      <c r="CP67" s="385" t="n">
        <f aca="false">IF(90&lt;5,0,IF(MAX(CK39:CP39)&gt;CP44+6+$B$18,1,0))</f>
        <v>0</v>
      </c>
      <c r="CQ67" s="385" t="n">
        <f aca="false">IF(91&lt;5,0,IF(MAX(CL39:CQ39)&gt;CQ44+6+$B$18,1,0))</f>
        <v>0</v>
      </c>
      <c r="CR67" s="385" t="n">
        <f aca="false">IF(92&lt;5,0,IF(MAX(CM39:CR39)&gt;CR44+6+$B$18,1,0))</f>
        <v>0</v>
      </c>
      <c r="CS67" s="385" t="n">
        <f aca="false">IF(93&lt;5,0,IF(MAX(CN39:CS39)&gt;CS44+6+$B$18,1,0))</f>
        <v>0</v>
      </c>
      <c r="CT67" s="385" t="n">
        <f aca="false">IF(94&lt;5,0,IF(MAX(CO39:CT39)&gt;CT44+6+$B$18,1,0))</f>
        <v>0</v>
      </c>
      <c r="CU67" s="385" t="n">
        <f aca="false">IF(95&lt;5,0,IF(MAX(CP39:CU39)&gt;CU44+6+$B$18,1,0))</f>
        <v>0</v>
      </c>
      <c r="CV67" s="385" t="n">
        <f aca="false">IF(96&lt;5,0,IF(MAX(CQ39:CV39)&gt;CV44+6+$B$18,1,0))</f>
        <v>0</v>
      </c>
      <c r="CW67" s="385" t="n">
        <f aca="false">IF(97&lt;5,0,IF(MAX(CR39:CW39)&gt;CW44+6+$B$18,1,0))</f>
        <v>0</v>
      </c>
      <c r="CX67" s="385" t="n">
        <f aca="false">IF(98&lt;5,0,IF(MAX(CS39:CX39)&gt;CX44+6+$B$18,1,0))</f>
        <v>0</v>
      </c>
      <c r="CY67" s="385" t="n">
        <f aca="false">IF(99&lt;5,0,IF(MAX(CT39:CY39)&gt;CY44+6+$B$18,1,0))</f>
        <v>0</v>
      </c>
      <c r="CZ67" s="385" t="n">
        <f aca="false">IF(100&lt;5,0,IF(MAX(CU39:CZ39)&gt;CZ44+6+$B$18,1,0))</f>
        <v>0</v>
      </c>
      <c r="DA67" s="385" t="n">
        <f aca="false">IF(101&lt;5,0,IF(MAX(CV39:DA39)&gt;DA44+6+$B$18,1,0))</f>
        <v>0</v>
      </c>
      <c r="DB67" s="385" t="n">
        <f aca="false">IF(102&lt;5,0,IF(MAX(CW39:DB39)&gt;DB44+6+$B$18,1,0))</f>
        <v>0</v>
      </c>
      <c r="DC67" s="385" t="n">
        <f aca="false">IF(103&lt;5,0,IF(MAX(CX39:DC39)&gt;DC44+6+$B$18,1,0))</f>
        <v>0</v>
      </c>
      <c r="DD67" s="385" t="n">
        <f aca="false">IF(104&lt;5,0,IF(MAX(CY39:DD39)&gt;DD44+6+$B$18,1,0))</f>
        <v>0</v>
      </c>
      <c r="DE67" s="385" t="n">
        <f aca="false">IF(105&lt;5,0,IF(MAX(CZ39:DE39)&gt;DE44+6+$B$18,1,0))</f>
        <v>0</v>
      </c>
    </row>
    <row r="68" customFormat="false" ht="13.5" hidden="false" customHeight="true" outlineLevel="0" collapsed="false">
      <c r="A68" s="110" t="s">
        <v>1402</v>
      </c>
      <c r="B68" s="213" t="n">
        <f aca="false">$B$28</f>
        <v>130000</v>
      </c>
      <c r="E68" s="385" t="n">
        <f aca="false">IF(1&lt;5,0,IF(MAX(E39)&gt;E44+7+$B$18,1,0))</f>
        <v>0</v>
      </c>
      <c r="F68" s="385" t="n">
        <f aca="false">IF(2&lt;5,0,IF(MAX(E39:F39)&gt;F44+7+$B$18,1,0))</f>
        <v>0</v>
      </c>
      <c r="G68" s="385" t="n">
        <f aca="false">IF(3&lt;5,0,IF(MAX(E39:G39)&gt;G44+7+$B$18,1,0))</f>
        <v>0</v>
      </c>
      <c r="H68" s="385" t="n">
        <f aca="false">IF(4&lt;5,0,IF(MAX(E39:H39)&gt;H44+7+$B$18,1,0))</f>
        <v>0</v>
      </c>
      <c r="I68" s="385" t="n">
        <f aca="false">IF(5&lt;5,0,IF(MAX(E39:I39)&gt;I44+7+$B$18,1,0))</f>
        <v>0</v>
      </c>
      <c r="J68" s="385" t="n">
        <f aca="false">IF(6&lt;5,0,IF(MAX(E39:J39)&gt;J44+7+$B$18,1,0))</f>
        <v>0</v>
      </c>
      <c r="K68" s="385" t="n">
        <f aca="false">IF(7&lt;5,0,IF(MAX(F39:K39)&gt;K44+7+$B$18,1,0))</f>
        <v>0</v>
      </c>
      <c r="L68" s="385" t="n">
        <f aca="false">IF(8&lt;5,0,IF(MAX(G39:L39)&gt;L44+7+$B$18,1,0))</f>
        <v>0</v>
      </c>
      <c r="M68" s="385" t="n">
        <f aca="false">IF(9&lt;5,0,IF(MAX(H39:M39)&gt;M44+7+$B$18,1,0))</f>
        <v>0</v>
      </c>
      <c r="N68" s="385" t="n">
        <f aca="false">IF(10&lt;5,0,IF(MAX(I39:N39)&gt;N44+7+$B$18,1,0))</f>
        <v>0</v>
      </c>
      <c r="O68" s="385" t="n">
        <f aca="false">IF(11&lt;5,0,IF(MAX(J39:O39)&gt;O44+7+$B$18,1,0))</f>
        <v>0</v>
      </c>
      <c r="P68" s="385" t="n">
        <f aca="false">IF(12&lt;5,0,IF(MAX(K39:P39)&gt;P44+7+$B$18,1,0))</f>
        <v>0</v>
      </c>
      <c r="Q68" s="385" t="n">
        <f aca="false">IF(13&lt;5,0,IF(MAX(L39:Q39)&gt;Q44+7+$B$18,1,0))</f>
        <v>0</v>
      </c>
      <c r="R68" s="385" t="n">
        <f aca="false">IF(14&lt;5,0,IF(MAX(M39:R39)&gt;R44+7+$B$18,1,0))</f>
        <v>0</v>
      </c>
      <c r="S68" s="385" t="n">
        <f aca="false">IF(15&lt;5,0,IF(MAX(N39:S39)&gt;S44+7+$B$18,1,0))</f>
        <v>0</v>
      </c>
      <c r="T68" s="385" t="n">
        <f aca="false">IF(16&lt;5,0,IF(MAX(O39:T39)&gt;T44+7+$B$18,1,0))</f>
        <v>0</v>
      </c>
      <c r="U68" s="385" t="n">
        <f aca="false">IF(17&lt;5,0,IF(MAX(P39:U39)&gt;U44+7+$B$18,1,0))</f>
        <v>0</v>
      </c>
      <c r="V68" s="385" t="n">
        <f aca="false">IF(18&lt;5,0,IF(MAX(Q39:V39)&gt;V44+7+$B$18,1,0))</f>
        <v>0</v>
      </c>
      <c r="W68" s="385" t="n">
        <f aca="false">IF(19&lt;5,0,IF(MAX(R39:W39)&gt;W44+7+$B$18,1,0))</f>
        <v>0</v>
      </c>
      <c r="X68" s="385" t="n">
        <f aca="false">IF(20&lt;5,0,IF(MAX(S39:X39)&gt;X44+7+$B$18,1,0))</f>
        <v>0</v>
      </c>
      <c r="Y68" s="385" t="n">
        <f aca="false">IF(21&lt;5,0,IF(MAX(T39:Y39)&gt;Y44+7+$B$18,1,0))</f>
        <v>0</v>
      </c>
      <c r="Z68" s="385" t="n">
        <f aca="false">IF(22&lt;5,0,IF(MAX(U39:Z39)&gt;Z44+7+$B$18,1,0))</f>
        <v>0</v>
      </c>
      <c r="AA68" s="385" t="n">
        <f aca="false">IF(23&lt;5,0,IF(MAX(V39:AA39)&gt;AA44+7+$B$18,1,0))</f>
        <v>0</v>
      </c>
      <c r="AB68" s="385" t="n">
        <f aca="false">IF(24&lt;5,0,IF(MAX(W39:AB39)&gt;AB44+7+$B$18,1,0))</f>
        <v>0</v>
      </c>
      <c r="AC68" s="385" t="n">
        <f aca="false">IF(25&lt;5,0,IF(MAX(X39:AC39)&gt;AC44+7+$B$18,1,0))</f>
        <v>0</v>
      </c>
      <c r="AD68" s="385" t="n">
        <f aca="false">IF(26&lt;5,0,IF(MAX(Y39:AD39)&gt;AD44+7+$B$18,1,0))</f>
        <v>0</v>
      </c>
      <c r="AE68" s="385" t="n">
        <f aca="false">IF(27&lt;5,0,IF(MAX(Z39:AE39)&gt;AE44+7+$B$18,1,0))</f>
        <v>0</v>
      </c>
      <c r="AF68" s="385" t="n">
        <f aca="false">IF(28&lt;5,0,IF(MAX(AA39:AF39)&gt;AF44+7+$B$18,1,0))</f>
        <v>0</v>
      </c>
      <c r="AG68" s="385" t="n">
        <f aca="false">IF(29&lt;5,0,IF(MAX(AB39:AG39)&gt;AG44+7+$B$18,1,0))</f>
        <v>0</v>
      </c>
      <c r="AH68" s="385" t="n">
        <f aca="false">IF(30&lt;5,0,IF(MAX(AC39:AH39)&gt;AH44+7+$B$18,1,0))</f>
        <v>0</v>
      </c>
      <c r="AI68" s="385" t="n">
        <f aca="false">IF(31&lt;5,0,IF(MAX(AD39:AI39)&gt;AI44+7+$B$18,1,0))</f>
        <v>0</v>
      </c>
      <c r="AJ68" s="385" t="n">
        <f aca="false">IF(32&lt;5,0,IF(MAX(AE39:AJ39)&gt;AJ44+7+$B$18,1,0))</f>
        <v>0</v>
      </c>
      <c r="AK68" s="385" t="n">
        <f aca="false">IF(33&lt;5,0,IF(MAX(AF39:AK39)&gt;AK44+7+$B$18,1,0))</f>
        <v>0</v>
      </c>
      <c r="AL68" s="385" t="n">
        <f aca="false">IF(34&lt;5,0,IF(MAX(AG39:AL39)&gt;AL44+7+$B$18,1,0))</f>
        <v>0</v>
      </c>
      <c r="AM68" s="385" t="n">
        <f aca="false">IF(35&lt;5,0,IF(MAX(AH39:AM39)&gt;AM44+7+$B$18,1,0))</f>
        <v>0</v>
      </c>
      <c r="AN68" s="385" t="n">
        <f aca="false">IF(36&lt;5,0,IF(MAX(AI39:AN39)&gt;AN44+7+$B$18,1,0))</f>
        <v>0</v>
      </c>
      <c r="AO68" s="385" t="n">
        <f aca="false">IF(37&lt;5,0,IF(MAX(AJ39:AO39)&gt;AO44+7+$B$18,1,0))</f>
        <v>0</v>
      </c>
      <c r="AP68" s="385" t="n">
        <f aca="false">IF(38&lt;5,0,IF(MAX(AK39:AP39)&gt;AP44+7+$B$18,1,0))</f>
        <v>0</v>
      </c>
      <c r="AQ68" s="385" t="n">
        <f aca="false">IF(39&lt;5,0,IF(MAX(AL39:AQ39)&gt;AQ44+7+$B$18,1,0))</f>
        <v>0</v>
      </c>
      <c r="AR68" s="385" t="n">
        <f aca="false">IF(40&lt;5,0,IF(MAX(AM39:AR39)&gt;AR44+7+$B$18,1,0))</f>
        <v>0</v>
      </c>
      <c r="AS68" s="385" t="n">
        <f aca="false">IF(41&lt;5,0,IF(MAX(AN39:AS39)&gt;AS44+7+$B$18,1,0))</f>
        <v>0</v>
      </c>
      <c r="AT68" s="385" t="n">
        <f aca="false">IF(42&lt;5,0,IF(MAX(AO39:AT39)&gt;AT44+7+$B$18,1,0))</f>
        <v>0</v>
      </c>
      <c r="AU68" s="385" t="n">
        <f aca="false">IF(43&lt;5,0,IF(MAX(AP39:AU39)&gt;AU44+7+$B$18,1,0))</f>
        <v>0</v>
      </c>
      <c r="AV68" s="385" t="n">
        <f aca="false">IF(44&lt;5,0,IF(MAX(AQ39:AV39)&gt;AV44+7+$B$18,1,0))</f>
        <v>0</v>
      </c>
      <c r="AW68" s="385" t="n">
        <f aca="false">IF(45&lt;5,0,IF(MAX(AR39:AW39)&gt;AW44+7+$B$18,1,0))</f>
        <v>0</v>
      </c>
      <c r="AX68" s="385" t="n">
        <f aca="false">IF(46&lt;5,0,IF(MAX(AS39:AX39)&gt;AX44+7+$B$18,1,0))</f>
        <v>0</v>
      </c>
      <c r="AY68" s="385" t="n">
        <f aca="false">IF(47&lt;5,0,IF(MAX(AT39:AY39)&gt;AY44+7+$B$18,1,0))</f>
        <v>0</v>
      </c>
      <c r="AZ68" s="385" t="n">
        <f aca="false">IF(48&lt;5,0,IF(MAX(AU39:AZ39)&gt;AZ44+7+$B$18,1,0))</f>
        <v>0</v>
      </c>
      <c r="BA68" s="385" t="n">
        <f aca="false">IF(49&lt;5,0,IF(MAX(AV39:BA39)&gt;BA44+7+$B$18,1,0))</f>
        <v>0</v>
      </c>
      <c r="BB68" s="385" t="n">
        <f aca="false">IF(50&lt;5,0,IF(MAX(AW39:BB39)&gt;BB44+7+$B$18,1,0))</f>
        <v>0</v>
      </c>
      <c r="BC68" s="385" t="n">
        <f aca="false">IF(51&lt;5,0,IF(MAX(AX39:BC39)&gt;BC44+7+$B$18,1,0))</f>
        <v>0</v>
      </c>
      <c r="BD68" s="385" t="n">
        <f aca="false">IF(52&lt;5,0,IF(MAX(AY39:BD39)&gt;BD44+7+$B$18,1,0))</f>
        <v>0</v>
      </c>
      <c r="BE68" s="385" t="n">
        <f aca="false">IF(53&lt;5,0,IF(MAX(AZ39:BE39)&gt;BE44+7+$B$18,1,0))</f>
        <v>0</v>
      </c>
      <c r="BF68" s="385" t="n">
        <f aca="false">IF(54&lt;5,0,IF(MAX(BA39:BF39)&gt;BF44+7+$B$18,1,0))</f>
        <v>0</v>
      </c>
      <c r="BG68" s="385" t="n">
        <f aca="false">IF(55&lt;5,0,IF(MAX(BB39:BG39)&gt;BG44+7+$B$18,1,0))</f>
        <v>0</v>
      </c>
      <c r="BH68" s="385" t="n">
        <f aca="false">IF(56&lt;5,0,IF(MAX(BC39:BH39)&gt;BH44+7+$B$18,1,0))</f>
        <v>0</v>
      </c>
      <c r="BI68" s="385" t="n">
        <f aca="false">IF(57&lt;5,0,IF(MAX(BD39:BI39)&gt;BI44+7+$B$18,1,0))</f>
        <v>0</v>
      </c>
      <c r="BJ68" s="385" t="n">
        <f aca="false">IF(58&lt;5,0,IF(MAX(BE39:BJ39)&gt;BJ44+7+$B$18,1,0))</f>
        <v>0</v>
      </c>
      <c r="BK68" s="385" t="n">
        <f aca="false">IF(59&lt;5,0,IF(MAX(BF39:BK39)&gt;BK44+7+$B$18,1,0))</f>
        <v>0</v>
      </c>
      <c r="BL68" s="385" t="n">
        <f aca="false">IF(60&lt;5,0,IF(MAX(BG39:BL39)&gt;BL44+7+$B$18,1,0))</f>
        <v>0</v>
      </c>
      <c r="BM68" s="385" t="n">
        <f aca="false">IF(61&lt;5,0,IF(MAX(BH39:BM39)&gt;BM44+7+$B$18,1,0))</f>
        <v>0</v>
      </c>
      <c r="BN68" s="385" t="n">
        <f aca="false">IF(62&lt;5,0,IF(MAX(BI39:BN39)&gt;BN44+7+$B$18,1,0))</f>
        <v>0</v>
      </c>
      <c r="BO68" s="385" t="n">
        <f aca="false">IF(63&lt;5,0,IF(MAX(BJ39:BO39)&gt;BO44+7+$B$18,1,0))</f>
        <v>0</v>
      </c>
      <c r="BP68" s="385" t="n">
        <f aca="false">IF(64&lt;5,0,IF(MAX(BK39:BP39)&gt;BP44+7+$B$18,1,0))</f>
        <v>0</v>
      </c>
      <c r="BQ68" s="385" t="n">
        <f aca="false">IF(65&lt;5,0,IF(MAX(BL39:BQ39)&gt;BQ44+7+$B$18,1,0))</f>
        <v>0</v>
      </c>
      <c r="BR68" s="385" t="n">
        <f aca="false">IF(66&lt;5,0,IF(MAX(BM39:BR39)&gt;BR44+7+$B$18,1,0))</f>
        <v>0</v>
      </c>
      <c r="BS68" s="385" t="n">
        <f aca="false">IF(67&lt;5,0,IF(MAX(BN39:BS39)&gt;BS44+7+$B$18,1,0))</f>
        <v>0</v>
      </c>
      <c r="BT68" s="385" t="n">
        <f aca="false">IF(68&lt;5,0,IF(MAX(BO39:BT39)&gt;BT44+7+$B$18,1,0))</f>
        <v>0</v>
      </c>
      <c r="BU68" s="385" t="n">
        <f aca="false">IF(69&lt;5,0,IF(MAX(BP39:BU39)&gt;BU44+7+$B$18,1,0))</f>
        <v>0</v>
      </c>
      <c r="BV68" s="385" t="n">
        <f aca="false">IF(70&lt;5,0,IF(MAX(BQ39:BV39)&gt;BV44+7+$B$18,1,0))</f>
        <v>0</v>
      </c>
      <c r="BW68" s="385" t="n">
        <f aca="false">IF(71&lt;5,0,IF(MAX(BR39:BW39)&gt;BW44+7+$B$18,1,0))</f>
        <v>0</v>
      </c>
      <c r="BX68" s="385" t="n">
        <f aca="false">IF(72&lt;5,0,IF(MAX(BS39:BX39)&gt;BX44+7+$B$18,1,0))</f>
        <v>0</v>
      </c>
      <c r="BY68" s="385" t="n">
        <f aca="false">IF(73&lt;5,0,IF(MAX(BT39:BY39)&gt;BY44+7+$B$18,1,0))</f>
        <v>0</v>
      </c>
      <c r="BZ68" s="385" t="n">
        <f aca="false">IF(74&lt;5,0,IF(MAX(BU39:BZ39)&gt;BZ44+7+$B$18,1,0))</f>
        <v>0</v>
      </c>
      <c r="CA68" s="385" t="n">
        <f aca="false">IF(75&lt;5,0,IF(MAX(BV39:CA39)&gt;CA44+7+$B$18,1,0))</f>
        <v>0</v>
      </c>
      <c r="CB68" s="385" t="n">
        <f aca="false">IF(76&lt;5,0,IF(MAX(BW39:CB39)&gt;CB44+7+$B$18,1,0))</f>
        <v>0</v>
      </c>
      <c r="CC68" s="385" t="n">
        <f aca="false">IF(77&lt;5,0,IF(MAX(BX39:CC39)&gt;CC44+7+$B$18,1,0))</f>
        <v>0</v>
      </c>
      <c r="CD68" s="385" t="n">
        <f aca="false">IF(78&lt;5,0,IF(MAX(BY39:CD39)&gt;CD44+7+$B$18,1,0))</f>
        <v>0</v>
      </c>
      <c r="CE68" s="385" t="n">
        <f aca="false">IF(79&lt;5,0,IF(MAX(BZ39:CE39)&gt;CE44+7+$B$18,1,0))</f>
        <v>0</v>
      </c>
      <c r="CF68" s="385" t="n">
        <f aca="false">IF(80&lt;5,0,IF(MAX(CA39:CF39)&gt;CF44+7+$B$18,1,0))</f>
        <v>0</v>
      </c>
      <c r="CG68" s="385" t="n">
        <f aca="false">IF(81&lt;5,0,IF(MAX(CB39:CG39)&gt;CG44+7+$B$18,1,0))</f>
        <v>0</v>
      </c>
      <c r="CH68" s="385" t="n">
        <f aca="false">IF(82&lt;5,0,IF(MAX(CC39:CH39)&gt;CH44+7+$B$18,1,0))</f>
        <v>0</v>
      </c>
      <c r="CI68" s="385" t="n">
        <f aca="false">IF(83&lt;5,0,IF(MAX(CD39:CI39)&gt;CI44+7+$B$18,1,0))</f>
        <v>0</v>
      </c>
      <c r="CJ68" s="385" t="n">
        <f aca="false">IF(84&lt;5,0,IF(MAX(CE39:CJ39)&gt;CJ44+7+$B$18,1,0))</f>
        <v>0</v>
      </c>
      <c r="CK68" s="385" t="n">
        <f aca="false">IF(85&lt;5,0,IF(MAX(CF39:CK39)&gt;CK44+7+$B$18,1,0))</f>
        <v>0</v>
      </c>
      <c r="CL68" s="385" t="n">
        <f aca="false">IF(86&lt;5,0,IF(MAX(CG39:CL39)&gt;CL44+7+$B$18,1,0))</f>
        <v>0</v>
      </c>
      <c r="CM68" s="385" t="n">
        <f aca="false">IF(87&lt;5,0,IF(MAX(CH39:CM39)&gt;CM44+7+$B$18,1,0))</f>
        <v>0</v>
      </c>
      <c r="CN68" s="385" t="n">
        <f aca="false">IF(88&lt;5,0,IF(MAX(CI39:CN39)&gt;CN44+7+$B$18,1,0))</f>
        <v>0</v>
      </c>
      <c r="CO68" s="385" t="n">
        <f aca="false">IF(89&lt;5,0,IF(MAX(CJ39:CO39)&gt;CO44+7+$B$18,1,0))</f>
        <v>0</v>
      </c>
      <c r="CP68" s="385" t="n">
        <f aca="false">IF(90&lt;5,0,IF(MAX(CK39:CP39)&gt;CP44+7+$B$18,1,0))</f>
        <v>0</v>
      </c>
      <c r="CQ68" s="385" t="n">
        <f aca="false">IF(91&lt;5,0,IF(MAX(CL39:CQ39)&gt;CQ44+7+$B$18,1,0))</f>
        <v>0</v>
      </c>
      <c r="CR68" s="385" t="n">
        <f aca="false">IF(92&lt;5,0,IF(MAX(CM39:CR39)&gt;CR44+7+$B$18,1,0))</f>
        <v>0</v>
      </c>
      <c r="CS68" s="385" t="n">
        <f aca="false">IF(93&lt;5,0,IF(MAX(CN39:CS39)&gt;CS44+7+$B$18,1,0))</f>
        <v>0</v>
      </c>
      <c r="CT68" s="385" t="n">
        <f aca="false">IF(94&lt;5,0,IF(MAX(CO39:CT39)&gt;CT44+7+$B$18,1,0))</f>
        <v>0</v>
      </c>
      <c r="CU68" s="385" t="n">
        <f aca="false">IF(95&lt;5,0,IF(MAX(CP39:CU39)&gt;CU44+7+$B$18,1,0))</f>
        <v>0</v>
      </c>
      <c r="CV68" s="385" t="n">
        <f aca="false">IF(96&lt;5,0,IF(MAX(CQ39:CV39)&gt;CV44+7+$B$18,1,0))</f>
        <v>0</v>
      </c>
      <c r="CW68" s="385" t="n">
        <f aca="false">IF(97&lt;5,0,IF(MAX(CR39:CW39)&gt;CW44+7+$B$18,1,0))</f>
        <v>0</v>
      </c>
      <c r="CX68" s="385" t="n">
        <f aca="false">IF(98&lt;5,0,IF(MAX(CS39:CX39)&gt;CX44+7+$B$18,1,0))</f>
        <v>0</v>
      </c>
      <c r="CY68" s="385" t="n">
        <f aca="false">IF(99&lt;5,0,IF(MAX(CT39:CY39)&gt;CY44+7+$B$18,1,0))</f>
        <v>0</v>
      </c>
      <c r="CZ68" s="385" t="n">
        <f aca="false">IF(100&lt;5,0,IF(MAX(CU39:CZ39)&gt;CZ44+7+$B$18,1,0))</f>
        <v>0</v>
      </c>
      <c r="DA68" s="385" t="n">
        <f aca="false">IF(101&lt;5,0,IF(MAX(CV39:DA39)&gt;DA44+7+$B$18,1,0))</f>
        <v>0</v>
      </c>
      <c r="DB68" s="385" t="n">
        <f aca="false">IF(102&lt;5,0,IF(MAX(CW39:DB39)&gt;DB44+7+$B$18,1,0))</f>
        <v>0</v>
      </c>
      <c r="DC68" s="385" t="n">
        <f aca="false">IF(103&lt;5,0,IF(MAX(CX39:DC39)&gt;DC44+7+$B$18,1,0))</f>
        <v>0</v>
      </c>
      <c r="DD68" s="385" t="n">
        <f aca="false">IF(104&lt;5,0,IF(MAX(CY39:DD39)&gt;DD44+7+$B$18,1,0))</f>
        <v>0</v>
      </c>
      <c r="DE68" s="385"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1403</v>
      </c>
      <c r="B71" s="213" t="n">
        <f aca="false">$B$29</f>
        <v>180000</v>
      </c>
      <c r="E71" s="385" t="n">
        <f aca="false">IF(1&lt;5,0,IF(MAX(E40)&gt;E45+0+$B$18,1,0))</f>
        <v>0</v>
      </c>
      <c r="F71" s="385" t="n">
        <f aca="false">IF(2&lt;5,0,IF(MAX(E40:F40)&gt;F45+0+$B$18,1,0))</f>
        <v>0</v>
      </c>
      <c r="G71" s="385" t="n">
        <f aca="false">IF(3&lt;5,0,IF(MAX(E40:G40)&gt;G45+0+$B$18,1,0))</f>
        <v>0</v>
      </c>
      <c r="H71" s="385" t="n">
        <f aca="false">IF(4&lt;5,0,IF(MAX(E40:H40)&gt;H45+0+$B$18,1,0))</f>
        <v>0</v>
      </c>
      <c r="I71" s="385" t="n">
        <f aca="false">IF(5&lt;5,0,IF(MAX(E40:I40)&gt;I45+0+$B$18,1,0))</f>
        <v>0</v>
      </c>
      <c r="J71" s="385" t="n">
        <f aca="false">IF(6&lt;5,0,IF(MAX(E40:J40)&gt;J45+0+$B$18,1,0))</f>
        <v>0</v>
      </c>
      <c r="K71" s="385" t="n">
        <f aca="false">IF(7&lt;5,0,IF(MAX(F40:K40)&gt;K45+0+$B$18,1,0))</f>
        <v>0</v>
      </c>
      <c r="L71" s="385" t="n">
        <f aca="false">IF(8&lt;5,0,IF(MAX(G40:L40)&gt;L45+0+$B$18,1,0))</f>
        <v>0</v>
      </c>
      <c r="M71" s="385" t="n">
        <f aca="false">IF(9&lt;5,0,IF(MAX(H40:M40)&gt;M45+0+$B$18,1,0))</f>
        <v>0</v>
      </c>
      <c r="N71" s="385" t="n">
        <f aca="false">IF(10&lt;5,0,IF(MAX(I40:N40)&gt;N45+0+$B$18,1,0))</f>
        <v>0</v>
      </c>
      <c r="O71" s="385" t="n">
        <f aca="false">IF(11&lt;5,0,IF(MAX(J40:O40)&gt;O45+0+$B$18,1,0))</f>
        <v>1</v>
      </c>
      <c r="P71" s="385" t="n">
        <f aca="false">IF(12&lt;5,0,IF(MAX(K40:P40)&gt;P45+0+$B$18,1,0))</f>
        <v>1</v>
      </c>
      <c r="Q71" s="385" t="n">
        <f aca="false">IF(13&lt;5,0,IF(MAX(L40:Q40)&gt;Q45+0+$B$18,1,0))</f>
        <v>1</v>
      </c>
      <c r="R71" s="385" t="n">
        <f aca="false">IF(14&lt;5,0,IF(MAX(M40:R40)&gt;R45+0+$B$18,1,0))</f>
        <v>1</v>
      </c>
      <c r="S71" s="385" t="n">
        <f aca="false">IF(15&lt;5,0,IF(MAX(N40:S40)&gt;S45+0+$B$18,1,0))</f>
        <v>1</v>
      </c>
      <c r="T71" s="385" t="n">
        <f aca="false">IF(16&lt;5,0,IF(MAX(O40:T40)&gt;T45+0+$B$18,1,0))</f>
        <v>1</v>
      </c>
      <c r="U71" s="385" t="n">
        <f aca="false">IF(17&lt;5,0,IF(MAX(P40:U40)&gt;U45+0+$B$18,1,0))</f>
        <v>1</v>
      </c>
      <c r="V71" s="385" t="n">
        <f aca="false">IF(18&lt;5,0,IF(MAX(Q40:V40)&gt;V45+0+$B$18,1,0))</f>
        <v>0</v>
      </c>
      <c r="W71" s="385" t="n">
        <f aca="false">IF(19&lt;5,0,IF(MAX(R40:W40)&gt;W45+0+$B$18,1,0))</f>
        <v>0</v>
      </c>
      <c r="X71" s="385" t="n">
        <f aca="false">IF(20&lt;5,0,IF(MAX(S40:X40)&gt;X45+0+$B$18,1,0))</f>
        <v>0</v>
      </c>
      <c r="Y71" s="385" t="n">
        <f aca="false">IF(21&lt;5,0,IF(MAX(T40:Y40)&gt;Y45+0+$B$18,1,0))</f>
        <v>0</v>
      </c>
      <c r="Z71" s="385" t="n">
        <f aca="false">IF(22&lt;5,0,IF(MAX(U40:Z40)&gt;Z45+0+$B$18,1,0))</f>
        <v>0</v>
      </c>
      <c r="AA71" s="385" t="n">
        <f aca="false">IF(23&lt;5,0,IF(MAX(V40:AA40)&gt;AA45+0+$B$18,1,0))</f>
        <v>0</v>
      </c>
      <c r="AB71" s="385" t="n">
        <f aca="false">IF(24&lt;5,0,IF(MAX(W40:AB40)&gt;AB45+0+$B$18,1,0))</f>
        <v>0</v>
      </c>
      <c r="AC71" s="385" t="n">
        <f aca="false">IF(25&lt;5,0,IF(MAX(X40:AC40)&gt;AC45+0+$B$18,1,0))</f>
        <v>0</v>
      </c>
      <c r="AD71" s="385" t="n">
        <f aca="false">IF(26&lt;5,0,IF(MAX(Y40:AD40)&gt;AD45+0+$B$18,1,0))</f>
        <v>0</v>
      </c>
      <c r="AE71" s="385" t="n">
        <f aca="false">IF(27&lt;5,0,IF(MAX(Z40:AE40)&gt;AE45+0+$B$18,1,0))</f>
        <v>0</v>
      </c>
      <c r="AF71" s="385" t="n">
        <f aca="false">IF(28&lt;5,0,IF(MAX(AA40:AF40)&gt;AF45+0+$B$18,1,0))</f>
        <v>0</v>
      </c>
      <c r="AG71" s="385" t="n">
        <f aca="false">IF(29&lt;5,0,IF(MAX(AB40:AG40)&gt;AG45+0+$B$18,1,0))</f>
        <v>0</v>
      </c>
      <c r="AH71" s="385" t="n">
        <f aca="false">IF(30&lt;5,0,IF(MAX(AC40:AH40)&gt;AH45+0+$B$18,1,0))</f>
        <v>0</v>
      </c>
      <c r="AI71" s="385" t="n">
        <f aca="false">IF(31&lt;5,0,IF(MAX(AD40:AI40)&gt;AI45+0+$B$18,1,0))</f>
        <v>0</v>
      </c>
      <c r="AJ71" s="385" t="n">
        <f aca="false">IF(32&lt;5,0,IF(MAX(AE40:AJ40)&gt;AJ45+0+$B$18,1,0))</f>
        <v>0</v>
      </c>
      <c r="AK71" s="385" t="n">
        <f aca="false">IF(33&lt;5,0,IF(MAX(AF40:AK40)&gt;AK45+0+$B$18,1,0))</f>
        <v>0</v>
      </c>
      <c r="AL71" s="385" t="n">
        <f aca="false">IF(34&lt;5,0,IF(MAX(AG40:AL40)&gt;AL45+0+$B$18,1,0))</f>
        <v>0</v>
      </c>
      <c r="AM71" s="385" t="n">
        <f aca="false">IF(35&lt;5,0,IF(MAX(AH40:AM40)&gt;AM45+0+$B$18,1,0))</f>
        <v>0</v>
      </c>
      <c r="AN71" s="385" t="n">
        <f aca="false">IF(36&lt;5,0,IF(MAX(AI40:AN40)&gt;AN45+0+$B$18,1,0))</f>
        <v>0</v>
      </c>
      <c r="AO71" s="385" t="n">
        <f aca="false">IF(37&lt;5,0,IF(MAX(AJ40:AO40)&gt;AO45+0+$B$18,1,0))</f>
        <v>0</v>
      </c>
      <c r="AP71" s="385" t="n">
        <f aca="false">IF(38&lt;5,0,IF(MAX(AK40:AP40)&gt;AP45+0+$B$18,1,0))</f>
        <v>0</v>
      </c>
      <c r="AQ71" s="385" t="n">
        <f aca="false">IF(39&lt;5,0,IF(MAX(AL40:AQ40)&gt;AQ45+0+$B$18,1,0))</f>
        <v>0</v>
      </c>
      <c r="AR71" s="385" t="n">
        <f aca="false">IF(40&lt;5,0,IF(MAX(AM40:AR40)&gt;AR45+0+$B$18,1,0))</f>
        <v>0</v>
      </c>
      <c r="AS71" s="385" t="n">
        <f aca="false">IF(41&lt;5,0,IF(MAX(AN40:AS40)&gt;AS45+0+$B$18,1,0))</f>
        <v>0</v>
      </c>
      <c r="AT71" s="385" t="n">
        <f aca="false">IF(42&lt;5,0,IF(MAX(AO40:AT40)&gt;AT45+0+$B$18,1,0))</f>
        <v>0</v>
      </c>
      <c r="AU71" s="385" t="n">
        <f aca="false">IF(43&lt;5,0,IF(MAX(AP40:AU40)&gt;AU45+0+$B$18,1,0))</f>
        <v>0</v>
      </c>
      <c r="AV71" s="385" t="n">
        <f aca="false">IF(44&lt;5,0,IF(MAX(AQ40:AV40)&gt;AV45+0+$B$18,1,0))</f>
        <v>0</v>
      </c>
      <c r="AW71" s="385" t="n">
        <f aca="false">IF(45&lt;5,0,IF(MAX(AR40:AW40)&gt;AW45+0+$B$18,1,0))</f>
        <v>0</v>
      </c>
      <c r="AX71" s="385" t="n">
        <f aca="false">IF(46&lt;5,0,IF(MAX(AS40:AX40)&gt;AX45+0+$B$18,1,0))</f>
        <v>0</v>
      </c>
      <c r="AY71" s="385" t="n">
        <f aca="false">IF(47&lt;5,0,IF(MAX(AT40:AY40)&gt;AY45+0+$B$18,1,0))</f>
        <v>0</v>
      </c>
      <c r="AZ71" s="385" t="n">
        <f aca="false">IF(48&lt;5,0,IF(MAX(AU40:AZ40)&gt;AZ45+0+$B$18,1,0))</f>
        <v>0</v>
      </c>
      <c r="BA71" s="385" t="n">
        <f aca="false">IF(49&lt;5,0,IF(MAX(AV40:BA40)&gt;BA45+0+$B$18,1,0))</f>
        <v>0</v>
      </c>
      <c r="BB71" s="385" t="n">
        <f aca="false">IF(50&lt;5,0,IF(MAX(AW40:BB40)&gt;BB45+0+$B$18,1,0))</f>
        <v>0</v>
      </c>
      <c r="BC71" s="385" t="n">
        <f aca="false">IF(51&lt;5,0,IF(MAX(AX40:BC40)&gt;BC45+0+$B$18,1,0))</f>
        <v>0</v>
      </c>
      <c r="BD71" s="385" t="n">
        <f aca="false">IF(52&lt;5,0,IF(MAX(AY40:BD40)&gt;BD45+0+$B$18,1,0))</f>
        <v>0</v>
      </c>
      <c r="BE71" s="385" t="n">
        <f aca="false">IF(53&lt;5,0,IF(MAX(AZ40:BE40)&gt;BE45+0+$B$18,1,0))</f>
        <v>0</v>
      </c>
      <c r="BF71" s="385" t="n">
        <f aca="false">IF(54&lt;5,0,IF(MAX(BA40:BF40)&gt;BF45+0+$B$18,1,0))</f>
        <v>0</v>
      </c>
      <c r="BG71" s="385" t="n">
        <f aca="false">IF(55&lt;5,0,IF(MAX(BB40:BG40)&gt;BG45+0+$B$18,1,0))</f>
        <v>0</v>
      </c>
      <c r="BH71" s="385" t="n">
        <f aca="false">IF(56&lt;5,0,IF(MAX(BC40:BH40)&gt;BH45+0+$B$18,1,0))</f>
        <v>0</v>
      </c>
      <c r="BI71" s="385" t="n">
        <f aca="false">IF(57&lt;5,0,IF(MAX(BD40:BI40)&gt;BI45+0+$B$18,1,0))</f>
        <v>0</v>
      </c>
      <c r="BJ71" s="385" t="n">
        <f aca="false">IF(58&lt;5,0,IF(MAX(BE40:BJ40)&gt;BJ45+0+$B$18,1,0))</f>
        <v>0</v>
      </c>
      <c r="BK71" s="385" t="n">
        <f aca="false">IF(59&lt;5,0,IF(MAX(BF40:BK40)&gt;BK45+0+$B$18,1,0))</f>
        <v>0</v>
      </c>
      <c r="BL71" s="385" t="n">
        <f aca="false">IF(60&lt;5,0,IF(MAX(BG40:BL40)&gt;BL45+0+$B$18,1,0))</f>
        <v>0</v>
      </c>
      <c r="BM71" s="385" t="n">
        <f aca="false">IF(61&lt;5,0,IF(MAX(BH40:BM40)&gt;BM45+0+$B$18,1,0))</f>
        <v>0</v>
      </c>
      <c r="BN71" s="385" t="n">
        <f aca="false">IF(62&lt;5,0,IF(MAX(BI40:BN40)&gt;BN45+0+$B$18,1,0))</f>
        <v>0</v>
      </c>
      <c r="BO71" s="385" t="n">
        <f aca="false">IF(63&lt;5,0,IF(MAX(BJ40:BO40)&gt;BO45+0+$B$18,1,0))</f>
        <v>0</v>
      </c>
      <c r="BP71" s="385" t="n">
        <f aca="false">IF(64&lt;5,0,IF(MAX(BK40:BP40)&gt;BP45+0+$B$18,1,0))</f>
        <v>0</v>
      </c>
      <c r="BQ71" s="385" t="n">
        <f aca="false">IF(65&lt;5,0,IF(MAX(BL40:BQ40)&gt;BQ45+0+$B$18,1,0))</f>
        <v>0</v>
      </c>
      <c r="BR71" s="385" t="n">
        <f aca="false">IF(66&lt;5,0,IF(MAX(BM40:BR40)&gt;BR45+0+$B$18,1,0))</f>
        <v>0</v>
      </c>
      <c r="BS71" s="385" t="n">
        <f aca="false">IF(67&lt;5,0,IF(MAX(BN40:BS40)&gt;BS45+0+$B$18,1,0))</f>
        <v>0</v>
      </c>
      <c r="BT71" s="385" t="n">
        <f aca="false">IF(68&lt;5,0,IF(MAX(BO40:BT40)&gt;BT45+0+$B$18,1,0))</f>
        <v>0</v>
      </c>
      <c r="BU71" s="385" t="n">
        <f aca="false">IF(69&lt;5,0,IF(MAX(BP40:BU40)&gt;BU45+0+$B$18,1,0))</f>
        <v>0</v>
      </c>
      <c r="BV71" s="385" t="n">
        <f aca="false">IF(70&lt;5,0,IF(MAX(BQ40:BV40)&gt;BV45+0+$B$18,1,0))</f>
        <v>0</v>
      </c>
      <c r="BW71" s="385" t="n">
        <f aca="false">IF(71&lt;5,0,IF(MAX(BR40:BW40)&gt;BW45+0+$B$18,1,0))</f>
        <v>0</v>
      </c>
      <c r="BX71" s="385" t="n">
        <f aca="false">IF(72&lt;5,0,IF(MAX(BS40:BX40)&gt;BX45+0+$B$18,1,0))</f>
        <v>0</v>
      </c>
      <c r="BY71" s="385" t="n">
        <f aca="false">IF(73&lt;5,0,IF(MAX(BT40:BY40)&gt;BY45+0+$B$18,1,0))</f>
        <v>0</v>
      </c>
      <c r="BZ71" s="385" t="n">
        <f aca="false">IF(74&lt;5,0,IF(MAX(BU40:BZ40)&gt;BZ45+0+$B$18,1,0))</f>
        <v>0</v>
      </c>
      <c r="CA71" s="385" t="n">
        <f aca="false">IF(75&lt;5,0,IF(MAX(BV40:CA40)&gt;CA45+0+$B$18,1,0))</f>
        <v>0</v>
      </c>
      <c r="CB71" s="385" t="n">
        <f aca="false">IF(76&lt;5,0,IF(MAX(BW40:CB40)&gt;CB45+0+$B$18,1,0))</f>
        <v>0</v>
      </c>
      <c r="CC71" s="385" t="n">
        <f aca="false">IF(77&lt;5,0,IF(MAX(BX40:CC40)&gt;CC45+0+$B$18,1,0))</f>
        <v>0</v>
      </c>
      <c r="CD71" s="385" t="n">
        <f aca="false">IF(78&lt;5,0,IF(MAX(BY40:CD40)&gt;CD45+0+$B$18,1,0))</f>
        <v>0</v>
      </c>
      <c r="CE71" s="385" t="n">
        <f aca="false">IF(79&lt;5,0,IF(MAX(BZ40:CE40)&gt;CE45+0+$B$18,1,0))</f>
        <v>0</v>
      </c>
      <c r="CF71" s="385" t="n">
        <f aca="false">IF(80&lt;5,0,IF(MAX(CA40:CF40)&gt;CF45+0+$B$18,1,0))</f>
        <v>0</v>
      </c>
      <c r="CG71" s="385" t="n">
        <f aca="false">IF(81&lt;5,0,IF(MAX(CB40:CG40)&gt;CG45+0+$B$18,1,0))</f>
        <v>0</v>
      </c>
      <c r="CH71" s="385" t="n">
        <f aca="false">IF(82&lt;5,0,IF(MAX(CC40:CH40)&gt;CH45+0+$B$18,1,0))</f>
        <v>0</v>
      </c>
      <c r="CI71" s="385" t="n">
        <f aca="false">IF(83&lt;5,0,IF(MAX(CD40:CI40)&gt;CI45+0+$B$18,1,0))</f>
        <v>0</v>
      </c>
      <c r="CJ71" s="385" t="n">
        <f aca="false">IF(84&lt;5,0,IF(MAX(CE40:CJ40)&gt;CJ45+0+$B$18,1,0))</f>
        <v>0</v>
      </c>
      <c r="CK71" s="385" t="n">
        <f aca="false">IF(85&lt;5,0,IF(MAX(CF40:CK40)&gt;CK45+0+$B$18,1,0))</f>
        <v>0</v>
      </c>
      <c r="CL71" s="385" t="n">
        <f aca="false">IF(86&lt;5,0,IF(MAX(CG40:CL40)&gt;CL45+0+$B$18,1,0))</f>
        <v>0</v>
      </c>
      <c r="CM71" s="385" t="n">
        <f aca="false">IF(87&lt;5,0,IF(MAX(CH40:CM40)&gt;CM45+0+$B$18,1,0))</f>
        <v>0</v>
      </c>
      <c r="CN71" s="385" t="n">
        <f aca="false">IF(88&lt;5,0,IF(MAX(CI40:CN40)&gt;CN45+0+$B$18,1,0))</f>
        <v>0</v>
      </c>
      <c r="CO71" s="385" t="n">
        <f aca="false">IF(89&lt;5,0,IF(MAX(CJ40:CO40)&gt;CO45+0+$B$18,1,0))</f>
        <v>0</v>
      </c>
      <c r="CP71" s="385" t="n">
        <f aca="false">IF(90&lt;5,0,IF(MAX(CK40:CP40)&gt;CP45+0+$B$18,1,0))</f>
        <v>0</v>
      </c>
      <c r="CQ71" s="385" t="n">
        <f aca="false">IF(91&lt;5,0,IF(MAX(CL40:CQ40)&gt;CQ45+0+$B$18,1,0))</f>
        <v>0</v>
      </c>
      <c r="CR71" s="385" t="n">
        <f aca="false">IF(92&lt;5,0,IF(MAX(CM40:CR40)&gt;CR45+0+$B$18,1,0))</f>
        <v>0</v>
      </c>
      <c r="CS71" s="385" t="n">
        <f aca="false">IF(93&lt;5,0,IF(MAX(CN40:CS40)&gt;CS45+0+$B$18,1,0))</f>
        <v>0</v>
      </c>
      <c r="CT71" s="385" t="n">
        <f aca="false">IF(94&lt;5,0,IF(MAX(CO40:CT40)&gt;CT45+0+$B$18,1,0))</f>
        <v>0</v>
      </c>
      <c r="CU71" s="385" t="n">
        <f aca="false">IF(95&lt;5,0,IF(MAX(CP40:CU40)&gt;CU45+0+$B$18,1,0))</f>
        <v>0</v>
      </c>
      <c r="CV71" s="385" t="n">
        <f aca="false">IF(96&lt;5,0,IF(MAX(CQ40:CV40)&gt;CV45+0+$B$18,1,0))</f>
        <v>0</v>
      </c>
      <c r="CW71" s="385" t="n">
        <f aca="false">IF(97&lt;5,0,IF(MAX(CR40:CW40)&gt;CW45+0+$B$18,1,0))</f>
        <v>0</v>
      </c>
      <c r="CX71" s="385" t="n">
        <f aca="false">IF(98&lt;5,0,IF(MAX(CS40:CX40)&gt;CX45+0+$B$18,1,0))</f>
        <v>0</v>
      </c>
      <c r="CY71" s="385" t="n">
        <f aca="false">IF(99&lt;5,0,IF(MAX(CT40:CY40)&gt;CY45+0+$B$18,1,0))</f>
        <v>0</v>
      </c>
      <c r="CZ71" s="385" t="n">
        <f aca="false">IF(100&lt;5,0,IF(MAX(CU40:CZ40)&gt;CZ45+0+$B$18,1,0))</f>
        <v>0</v>
      </c>
      <c r="DA71" s="385" t="n">
        <f aca="false">IF(101&lt;5,0,IF(MAX(CV40:DA40)&gt;DA45+0+$B$18,1,0))</f>
        <v>0</v>
      </c>
      <c r="DB71" s="385" t="n">
        <f aca="false">IF(102&lt;5,0,IF(MAX(CW40:DB40)&gt;DB45+0+$B$18,1,0))</f>
        <v>0</v>
      </c>
      <c r="DC71" s="385" t="n">
        <f aca="false">IF(103&lt;5,0,IF(MAX(CX40:DC40)&gt;DC45+0+$B$18,1,0))</f>
        <v>0</v>
      </c>
      <c r="DD71" s="385" t="n">
        <f aca="false">IF(104&lt;5,0,IF(MAX(CY40:DD40)&gt;DD45+0+$B$18,1,0))</f>
        <v>0</v>
      </c>
      <c r="DE71" s="385" t="n">
        <f aca="false">IF(105&lt;5,0,IF(MAX(CZ40:DE40)&gt;DE45+0+$B$18,1,0))</f>
        <v>0</v>
      </c>
    </row>
    <row r="72" customFormat="false" ht="13.5" hidden="false" customHeight="true" outlineLevel="0" collapsed="false">
      <c r="A72" s="110" t="s">
        <v>1404</v>
      </c>
      <c r="B72" s="213" t="n">
        <f aca="false">$B$29</f>
        <v>180000</v>
      </c>
      <c r="E72" s="385" t="n">
        <f aca="false">IF(1&lt;5,0,IF(MAX(E40)&gt;E45+1+$B$18,1,0))</f>
        <v>0</v>
      </c>
      <c r="F72" s="385" t="n">
        <f aca="false">IF(2&lt;5,0,IF(MAX(E40:F40)&gt;F45+1+$B$18,1,0))</f>
        <v>0</v>
      </c>
      <c r="G72" s="385" t="n">
        <f aca="false">IF(3&lt;5,0,IF(MAX(E40:G40)&gt;G45+1+$B$18,1,0))</f>
        <v>0</v>
      </c>
      <c r="H72" s="385" t="n">
        <f aca="false">IF(4&lt;5,0,IF(MAX(E40:H40)&gt;H45+1+$B$18,1,0))</f>
        <v>0</v>
      </c>
      <c r="I72" s="385" t="n">
        <f aca="false">IF(5&lt;5,0,IF(MAX(E40:I40)&gt;I45+1+$B$18,1,0))</f>
        <v>0</v>
      </c>
      <c r="J72" s="385" t="n">
        <f aca="false">IF(6&lt;5,0,IF(MAX(E40:J40)&gt;J45+1+$B$18,1,0))</f>
        <v>0</v>
      </c>
      <c r="K72" s="385" t="n">
        <f aca="false">IF(7&lt;5,0,IF(MAX(F40:K40)&gt;K45+1+$B$18,1,0))</f>
        <v>0</v>
      </c>
      <c r="L72" s="385" t="n">
        <f aca="false">IF(8&lt;5,0,IF(MAX(G40:L40)&gt;L45+1+$B$18,1,0))</f>
        <v>0</v>
      </c>
      <c r="M72" s="385" t="n">
        <f aca="false">IF(9&lt;5,0,IF(MAX(H40:M40)&gt;M45+1+$B$18,1,0))</f>
        <v>0</v>
      </c>
      <c r="N72" s="385" t="n">
        <f aca="false">IF(10&lt;5,0,IF(MAX(I40:N40)&gt;N45+1+$B$18,1,0))</f>
        <v>0</v>
      </c>
      <c r="O72" s="385" t="n">
        <f aca="false">IF(11&lt;5,0,IF(MAX(J40:O40)&gt;O45+1+$B$18,1,0))</f>
        <v>0</v>
      </c>
      <c r="P72" s="385" t="n">
        <f aca="false">IF(12&lt;5,0,IF(MAX(K40:P40)&gt;P45+1+$B$18,1,0))</f>
        <v>0</v>
      </c>
      <c r="Q72" s="385" t="n">
        <f aca="false">IF(13&lt;5,0,IF(MAX(L40:Q40)&gt;Q45+1+$B$18,1,0))</f>
        <v>0</v>
      </c>
      <c r="R72" s="385" t="n">
        <f aca="false">IF(14&lt;5,0,IF(MAX(M40:R40)&gt;R45+1+$B$18,1,0))</f>
        <v>0</v>
      </c>
      <c r="S72" s="385" t="n">
        <f aca="false">IF(15&lt;5,0,IF(MAX(N40:S40)&gt;S45+1+$B$18,1,0))</f>
        <v>0</v>
      </c>
      <c r="T72" s="385" t="n">
        <f aca="false">IF(16&lt;5,0,IF(MAX(O40:T40)&gt;T45+1+$B$18,1,0))</f>
        <v>0</v>
      </c>
      <c r="U72" s="385" t="n">
        <f aca="false">IF(17&lt;5,0,IF(MAX(P40:U40)&gt;U45+1+$B$18,1,0))</f>
        <v>0</v>
      </c>
      <c r="V72" s="385" t="n">
        <f aca="false">IF(18&lt;5,0,IF(MAX(Q40:V40)&gt;V45+1+$B$18,1,0))</f>
        <v>0</v>
      </c>
      <c r="W72" s="385" t="n">
        <f aca="false">IF(19&lt;5,0,IF(MAX(R40:W40)&gt;W45+1+$B$18,1,0))</f>
        <v>0</v>
      </c>
      <c r="X72" s="385" t="n">
        <f aca="false">IF(20&lt;5,0,IF(MAX(S40:X40)&gt;X45+1+$B$18,1,0))</f>
        <v>0</v>
      </c>
      <c r="Y72" s="385" t="n">
        <f aca="false">IF(21&lt;5,0,IF(MAX(T40:Y40)&gt;Y45+1+$B$18,1,0))</f>
        <v>0</v>
      </c>
      <c r="Z72" s="385" t="n">
        <f aca="false">IF(22&lt;5,0,IF(MAX(U40:Z40)&gt;Z45+1+$B$18,1,0))</f>
        <v>0</v>
      </c>
      <c r="AA72" s="385" t="n">
        <f aca="false">IF(23&lt;5,0,IF(MAX(V40:AA40)&gt;AA45+1+$B$18,1,0))</f>
        <v>0</v>
      </c>
      <c r="AB72" s="385" t="n">
        <f aca="false">IF(24&lt;5,0,IF(MAX(W40:AB40)&gt;AB45+1+$B$18,1,0))</f>
        <v>0</v>
      </c>
      <c r="AC72" s="385" t="n">
        <f aca="false">IF(25&lt;5,0,IF(MAX(X40:AC40)&gt;AC45+1+$B$18,1,0))</f>
        <v>0</v>
      </c>
      <c r="AD72" s="385" t="n">
        <f aca="false">IF(26&lt;5,0,IF(MAX(Y40:AD40)&gt;AD45+1+$B$18,1,0))</f>
        <v>0</v>
      </c>
      <c r="AE72" s="385" t="n">
        <f aca="false">IF(27&lt;5,0,IF(MAX(Z40:AE40)&gt;AE45+1+$B$18,1,0))</f>
        <v>0</v>
      </c>
      <c r="AF72" s="385" t="n">
        <f aca="false">IF(28&lt;5,0,IF(MAX(AA40:AF40)&gt;AF45+1+$B$18,1,0))</f>
        <v>0</v>
      </c>
      <c r="AG72" s="385" t="n">
        <f aca="false">IF(29&lt;5,0,IF(MAX(AB40:AG40)&gt;AG45+1+$B$18,1,0))</f>
        <v>0</v>
      </c>
      <c r="AH72" s="385" t="n">
        <f aca="false">IF(30&lt;5,0,IF(MAX(AC40:AH40)&gt;AH45+1+$B$18,1,0))</f>
        <v>0</v>
      </c>
      <c r="AI72" s="385" t="n">
        <f aca="false">IF(31&lt;5,0,IF(MAX(AD40:AI40)&gt;AI45+1+$B$18,1,0))</f>
        <v>0</v>
      </c>
      <c r="AJ72" s="385" t="n">
        <f aca="false">IF(32&lt;5,0,IF(MAX(AE40:AJ40)&gt;AJ45+1+$B$18,1,0))</f>
        <v>0</v>
      </c>
      <c r="AK72" s="385" t="n">
        <f aca="false">IF(33&lt;5,0,IF(MAX(AF40:AK40)&gt;AK45+1+$B$18,1,0))</f>
        <v>0</v>
      </c>
      <c r="AL72" s="385" t="n">
        <f aca="false">IF(34&lt;5,0,IF(MAX(AG40:AL40)&gt;AL45+1+$B$18,1,0))</f>
        <v>0</v>
      </c>
      <c r="AM72" s="385" t="n">
        <f aca="false">IF(35&lt;5,0,IF(MAX(AH40:AM40)&gt;AM45+1+$B$18,1,0))</f>
        <v>0</v>
      </c>
      <c r="AN72" s="385" t="n">
        <f aca="false">IF(36&lt;5,0,IF(MAX(AI40:AN40)&gt;AN45+1+$B$18,1,0))</f>
        <v>0</v>
      </c>
      <c r="AO72" s="385" t="n">
        <f aca="false">IF(37&lt;5,0,IF(MAX(AJ40:AO40)&gt;AO45+1+$B$18,1,0))</f>
        <v>0</v>
      </c>
      <c r="AP72" s="385" t="n">
        <f aca="false">IF(38&lt;5,0,IF(MAX(AK40:AP40)&gt;AP45+1+$B$18,1,0))</f>
        <v>0</v>
      </c>
      <c r="AQ72" s="385" t="n">
        <f aca="false">IF(39&lt;5,0,IF(MAX(AL40:AQ40)&gt;AQ45+1+$B$18,1,0))</f>
        <v>0</v>
      </c>
      <c r="AR72" s="385" t="n">
        <f aca="false">IF(40&lt;5,0,IF(MAX(AM40:AR40)&gt;AR45+1+$B$18,1,0))</f>
        <v>0</v>
      </c>
      <c r="AS72" s="385" t="n">
        <f aca="false">IF(41&lt;5,0,IF(MAX(AN40:AS40)&gt;AS45+1+$B$18,1,0))</f>
        <v>0</v>
      </c>
      <c r="AT72" s="385" t="n">
        <f aca="false">IF(42&lt;5,0,IF(MAX(AO40:AT40)&gt;AT45+1+$B$18,1,0))</f>
        <v>0</v>
      </c>
      <c r="AU72" s="385" t="n">
        <f aca="false">IF(43&lt;5,0,IF(MAX(AP40:AU40)&gt;AU45+1+$B$18,1,0))</f>
        <v>0</v>
      </c>
      <c r="AV72" s="385" t="n">
        <f aca="false">IF(44&lt;5,0,IF(MAX(AQ40:AV40)&gt;AV45+1+$B$18,1,0))</f>
        <v>0</v>
      </c>
      <c r="AW72" s="385" t="n">
        <f aca="false">IF(45&lt;5,0,IF(MAX(AR40:AW40)&gt;AW45+1+$B$18,1,0))</f>
        <v>0</v>
      </c>
      <c r="AX72" s="385" t="n">
        <f aca="false">IF(46&lt;5,0,IF(MAX(AS40:AX40)&gt;AX45+1+$B$18,1,0))</f>
        <v>0</v>
      </c>
      <c r="AY72" s="385" t="n">
        <f aca="false">IF(47&lt;5,0,IF(MAX(AT40:AY40)&gt;AY45+1+$B$18,1,0))</f>
        <v>0</v>
      </c>
      <c r="AZ72" s="385" t="n">
        <f aca="false">IF(48&lt;5,0,IF(MAX(AU40:AZ40)&gt;AZ45+1+$B$18,1,0))</f>
        <v>0</v>
      </c>
      <c r="BA72" s="385" t="n">
        <f aca="false">IF(49&lt;5,0,IF(MAX(AV40:BA40)&gt;BA45+1+$B$18,1,0))</f>
        <v>0</v>
      </c>
      <c r="BB72" s="385" t="n">
        <f aca="false">IF(50&lt;5,0,IF(MAX(AW40:BB40)&gt;BB45+1+$B$18,1,0))</f>
        <v>0</v>
      </c>
      <c r="BC72" s="385" t="n">
        <f aca="false">IF(51&lt;5,0,IF(MAX(AX40:BC40)&gt;BC45+1+$B$18,1,0))</f>
        <v>0</v>
      </c>
      <c r="BD72" s="385" t="n">
        <f aca="false">IF(52&lt;5,0,IF(MAX(AY40:BD40)&gt;BD45+1+$B$18,1,0))</f>
        <v>0</v>
      </c>
      <c r="BE72" s="385" t="n">
        <f aca="false">IF(53&lt;5,0,IF(MAX(AZ40:BE40)&gt;BE45+1+$B$18,1,0))</f>
        <v>0</v>
      </c>
      <c r="BF72" s="385" t="n">
        <f aca="false">IF(54&lt;5,0,IF(MAX(BA40:BF40)&gt;BF45+1+$B$18,1,0))</f>
        <v>0</v>
      </c>
      <c r="BG72" s="385" t="n">
        <f aca="false">IF(55&lt;5,0,IF(MAX(BB40:BG40)&gt;BG45+1+$B$18,1,0))</f>
        <v>0</v>
      </c>
      <c r="BH72" s="385" t="n">
        <f aca="false">IF(56&lt;5,0,IF(MAX(BC40:BH40)&gt;BH45+1+$B$18,1,0))</f>
        <v>0</v>
      </c>
      <c r="BI72" s="385" t="n">
        <f aca="false">IF(57&lt;5,0,IF(MAX(BD40:BI40)&gt;BI45+1+$B$18,1,0))</f>
        <v>0</v>
      </c>
      <c r="BJ72" s="385" t="n">
        <f aca="false">IF(58&lt;5,0,IF(MAX(BE40:BJ40)&gt;BJ45+1+$B$18,1,0))</f>
        <v>0</v>
      </c>
      <c r="BK72" s="385" t="n">
        <f aca="false">IF(59&lt;5,0,IF(MAX(BF40:BK40)&gt;BK45+1+$B$18,1,0))</f>
        <v>0</v>
      </c>
      <c r="BL72" s="385" t="n">
        <f aca="false">IF(60&lt;5,0,IF(MAX(BG40:BL40)&gt;BL45+1+$B$18,1,0))</f>
        <v>0</v>
      </c>
      <c r="BM72" s="385" t="n">
        <f aca="false">IF(61&lt;5,0,IF(MAX(BH40:BM40)&gt;BM45+1+$B$18,1,0))</f>
        <v>0</v>
      </c>
      <c r="BN72" s="385" t="n">
        <f aca="false">IF(62&lt;5,0,IF(MAX(BI40:BN40)&gt;BN45+1+$B$18,1,0))</f>
        <v>0</v>
      </c>
      <c r="BO72" s="385" t="n">
        <f aca="false">IF(63&lt;5,0,IF(MAX(BJ40:BO40)&gt;BO45+1+$B$18,1,0))</f>
        <v>0</v>
      </c>
      <c r="BP72" s="385" t="n">
        <f aca="false">IF(64&lt;5,0,IF(MAX(BK40:BP40)&gt;BP45+1+$B$18,1,0))</f>
        <v>0</v>
      </c>
      <c r="BQ72" s="385" t="n">
        <f aca="false">IF(65&lt;5,0,IF(MAX(BL40:BQ40)&gt;BQ45+1+$B$18,1,0))</f>
        <v>0</v>
      </c>
      <c r="BR72" s="385" t="n">
        <f aca="false">IF(66&lt;5,0,IF(MAX(BM40:BR40)&gt;BR45+1+$B$18,1,0))</f>
        <v>0</v>
      </c>
      <c r="BS72" s="385" t="n">
        <f aca="false">IF(67&lt;5,0,IF(MAX(BN40:BS40)&gt;BS45+1+$B$18,1,0))</f>
        <v>0</v>
      </c>
      <c r="BT72" s="385" t="n">
        <f aca="false">IF(68&lt;5,0,IF(MAX(BO40:BT40)&gt;BT45+1+$B$18,1,0))</f>
        <v>0</v>
      </c>
      <c r="BU72" s="385" t="n">
        <f aca="false">IF(69&lt;5,0,IF(MAX(BP40:BU40)&gt;BU45+1+$B$18,1,0))</f>
        <v>0</v>
      </c>
      <c r="BV72" s="385" t="n">
        <f aca="false">IF(70&lt;5,0,IF(MAX(BQ40:BV40)&gt;BV45+1+$B$18,1,0))</f>
        <v>0</v>
      </c>
      <c r="BW72" s="385" t="n">
        <f aca="false">IF(71&lt;5,0,IF(MAX(BR40:BW40)&gt;BW45+1+$B$18,1,0))</f>
        <v>0</v>
      </c>
      <c r="BX72" s="385" t="n">
        <f aca="false">IF(72&lt;5,0,IF(MAX(BS40:BX40)&gt;BX45+1+$B$18,1,0))</f>
        <v>0</v>
      </c>
      <c r="BY72" s="385" t="n">
        <f aca="false">IF(73&lt;5,0,IF(MAX(BT40:BY40)&gt;BY45+1+$B$18,1,0))</f>
        <v>0</v>
      </c>
      <c r="BZ72" s="385" t="n">
        <f aca="false">IF(74&lt;5,0,IF(MAX(BU40:BZ40)&gt;BZ45+1+$B$18,1,0))</f>
        <v>0</v>
      </c>
      <c r="CA72" s="385" t="n">
        <f aca="false">IF(75&lt;5,0,IF(MAX(BV40:CA40)&gt;CA45+1+$B$18,1,0))</f>
        <v>0</v>
      </c>
      <c r="CB72" s="385" t="n">
        <f aca="false">IF(76&lt;5,0,IF(MAX(BW40:CB40)&gt;CB45+1+$B$18,1,0))</f>
        <v>0</v>
      </c>
      <c r="CC72" s="385" t="n">
        <f aca="false">IF(77&lt;5,0,IF(MAX(BX40:CC40)&gt;CC45+1+$B$18,1,0))</f>
        <v>0</v>
      </c>
      <c r="CD72" s="385" t="n">
        <f aca="false">IF(78&lt;5,0,IF(MAX(BY40:CD40)&gt;CD45+1+$B$18,1,0))</f>
        <v>0</v>
      </c>
      <c r="CE72" s="385" t="n">
        <f aca="false">IF(79&lt;5,0,IF(MAX(BZ40:CE40)&gt;CE45+1+$B$18,1,0))</f>
        <v>0</v>
      </c>
      <c r="CF72" s="385" t="n">
        <f aca="false">IF(80&lt;5,0,IF(MAX(CA40:CF40)&gt;CF45+1+$B$18,1,0))</f>
        <v>0</v>
      </c>
      <c r="CG72" s="385" t="n">
        <f aca="false">IF(81&lt;5,0,IF(MAX(CB40:CG40)&gt;CG45+1+$B$18,1,0))</f>
        <v>0</v>
      </c>
      <c r="CH72" s="385" t="n">
        <f aca="false">IF(82&lt;5,0,IF(MAX(CC40:CH40)&gt;CH45+1+$B$18,1,0))</f>
        <v>0</v>
      </c>
      <c r="CI72" s="385" t="n">
        <f aca="false">IF(83&lt;5,0,IF(MAX(CD40:CI40)&gt;CI45+1+$B$18,1,0))</f>
        <v>0</v>
      </c>
      <c r="CJ72" s="385" t="n">
        <f aca="false">IF(84&lt;5,0,IF(MAX(CE40:CJ40)&gt;CJ45+1+$B$18,1,0))</f>
        <v>0</v>
      </c>
      <c r="CK72" s="385" t="n">
        <f aca="false">IF(85&lt;5,0,IF(MAX(CF40:CK40)&gt;CK45+1+$B$18,1,0))</f>
        <v>0</v>
      </c>
      <c r="CL72" s="385" t="n">
        <f aca="false">IF(86&lt;5,0,IF(MAX(CG40:CL40)&gt;CL45+1+$B$18,1,0))</f>
        <v>0</v>
      </c>
      <c r="CM72" s="385" t="n">
        <f aca="false">IF(87&lt;5,0,IF(MAX(CH40:CM40)&gt;CM45+1+$B$18,1,0))</f>
        <v>0</v>
      </c>
      <c r="CN72" s="385" t="n">
        <f aca="false">IF(88&lt;5,0,IF(MAX(CI40:CN40)&gt;CN45+1+$B$18,1,0))</f>
        <v>0</v>
      </c>
      <c r="CO72" s="385" t="n">
        <f aca="false">IF(89&lt;5,0,IF(MAX(CJ40:CO40)&gt;CO45+1+$B$18,1,0))</f>
        <v>0</v>
      </c>
      <c r="CP72" s="385" t="n">
        <f aca="false">IF(90&lt;5,0,IF(MAX(CK40:CP40)&gt;CP45+1+$B$18,1,0))</f>
        <v>0</v>
      </c>
      <c r="CQ72" s="385" t="n">
        <f aca="false">IF(91&lt;5,0,IF(MAX(CL40:CQ40)&gt;CQ45+1+$B$18,1,0))</f>
        <v>0</v>
      </c>
      <c r="CR72" s="385" t="n">
        <f aca="false">IF(92&lt;5,0,IF(MAX(CM40:CR40)&gt;CR45+1+$B$18,1,0))</f>
        <v>0</v>
      </c>
      <c r="CS72" s="385" t="n">
        <f aca="false">IF(93&lt;5,0,IF(MAX(CN40:CS40)&gt;CS45+1+$B$18,1,0))</f>
        <v>0</v>
      </c>
      <c r="CT72" s="385" t="n">
        <f aca="false">IF(94&lt;5,0,IF(MAX(CO40:CT40)&gt;CT45+1+$B$18,1,0))</f>
        <v>0</v>
      </c>
      <c r="CU72" s="385" t="n">
        <f aca="false">IF(95&lt;5,0,IF(MAX(CP40:CU40)&gt;CU45+1+$B$18,1,0))</f>
        <v>0</v>
      </c>
      <c r="CV72" s="385" t="n">
        <f aca="false">IF(96&lt;5,0,IF(MAX(CQ40:CV40)&gt;CV45+1+$B$18,1,0))</f>
        <v>0</v>
      </c>
      <c r="CW72" s="385" t="n">
        <f aca="false">IF(97&lt;5,0,IF(MAX(CR40:CW40)&gt;CW45+1+$B$18,1,0))</f>
        <v>0</v>
      </c>
      <c r="CX72" s="385" t="n">
        <f aca="false">IF(98&lt;5,0,IF(MAX(CS40:CX40)&gt;CX45+1+$B$18,1,0))</f>
        <v>0</v>
      </c>
      <c r="CY72" s="385" t="n">
        <f aca="false">IF(99&lt;5,0,IF(MAX(CT40:CY40)&gt;CY45+1+$B$18,1,0))</f>
        <v>0</v>
      </c>
      <c r="CZ72" s="385" t="n">
        <f aca="false">IF(100&lt;5,0,IF(MAX(CU40:CZ40)&gt;CZ45+1+$B$18,1,0))</f>
        <v>0</v>
      </c>
      <c r="DA72" s="385" t="n">
        <f aca="false">IF(101&lt;5,0,IF(MAX(CV40:DA40)&gt;DA45+1+$B$18,1,0))</f>
        <v>0</v>
      </c>
      <c r="DB72" s="385" t="n">
        <f aca="false">IF(102&lt;5,0,IF(MAX(CW40:DB40)&gt;DB45+1+$B$18,1,0))</f>
        <v>0</v>
      </c>
      <c r="DC72" s="385" t="n">
        <f aca="false">IF(103&lt;5,0,IF(MAX(CX40:DC40)&gt;DC45+1+$B$18,1,0))</f>
        <v>0</v>
      </c>
      <c r="DD72" s="385" t="n">
        <f aca="false">IF(104&lt;5,0,IF(MAX(CY40:DD40)&gt;DD45+1+$B$18,1,0))</f>
        <v>0</v>
      </c>
      <c r="DE72" s="385" t="n">
        <f aca="false">IF(105&lt;5,0,IF(MAX(CZ40:DE40)&gt;DE45+1+$B$18,1,0))</f>
        <v>0</v>
      </c>
    </row>
    <row r="73" customFormat="false" ht="13.5" hidden="false" customHeight="true" outlineLevel="0" collapsed="false">
      <c r="A73" s="110" t="s">
        <v>1405</v>
      </c>
      <c r="B73" s="213" t="n">
        <f aca="false">$B$29</f>
        <v>180000</v>
      </c>
      <c r="E73" s="385" t="n">
        <f aca="false">IF(1&lt;5,0,IF(MAX(E40)&gt;E45+2+$B$18,1,0))</f>
        <v>0</v>
      </c>
      <c r="F73" s="385" t="n">
        <f aca="false">IF(2&lt;5,0,IF(MAX(E40:F40)&gt;F45+2+$B$18,1,0))</f>
        <v>0</v>
      </c>
      <c r="G73" s="385" t="n">
        <f aca="false">IF(3&lt;5,0,IF(MAX(E40:G40)&gt;G45+2+$B$18,1,0))</f>
        <v>0</v>
      </c>
      <c r="H73" s="385" t="n">
        <f aca="false">IF(4&lt;5,0,IF(MAX(E40:H40)&gt;H45+2+$B$18,1,0))</f>
        <v>0</v>
      </c>
      <c r="I73" s="385" t="n">
        <f aca="false">IF(5&lt;5,0,IF(MAX(E40:I40)&gt;I45+2+$B$18,1,0))</f>
        <v>0</v>
      </c>
      <c r="J73" s="385" t="n">
        <f aca="false">IF(6&lt;5,0,IF(MAX(E40:J40)&gt;J45+2+$B$18,1,0))</f>
        <v>0</v>
      </c>
      <c r="K73" s="385" t="n">
        <f aca="false">IF(7&lt;5,0,IF(MAX(F40:K40)&gt;K45+2+$B$18,1,0))</f>
        <v>0</v>
      </c>
      <c r="L73" s="385" t="n">
        <f aca="false">IF(8&lt;5,0,IF(MAX(G40:L40)&gt;L45+2+$B$18,1,0))</f>
        <v>0</v>
      </c>
      <c r="M73" s="385" t="n">
        <f aca="false">IF(9&lt;5,0,IF(MAX(H40:M40)&gt;M45+2+$B$18,1,0))</f>
        <v>0</v>
      </c>
      <c r="N73" s="385" t="n">
        <f aca="false">IF(10&lt;5,0,IF(MAX(I40:N40)&gt;N45+2+$B$18,1,0))</f>
        <v>0</v>
      </c>
      <c r="O73" s="385" t="n">
        <f aca="false">IF(11&lt;5,0,IF(MAX(J40:O40)&gt;O45+2+$B$18,1,0))</f>
        <v>0</v>
      </c>
      <c r="P73" s="385" t="n">
        <f aca="false">IF(12&lt;5,0,IF(MAX(K40:P40)&gt;P45+2+$B$18,1,0))</f>
        <v>0</v>
      </c>
      <c r="Q73" s="385" t="n">
        <f aca="false">IF(13&lt;5,0,IF(MAX(L40:Q40)&gt;Q45+2+$B$18,1,0))</f>
        <v>0</v>
      </c>
      <c r="R73" s="385" t="n">
        <f aca="false">IF(14&lt;5,0,IF(MAX(M40:R40)&gt;R45+2+$B$18,1,0))</f>
        <v>0</v>
      </c>
      <c r="S73" s="385" t="n">
        <f aca="false">IF(15&lt;5,0,IF(MAX(N40:S40)&gt;S45+2+$B$18,1,0))</f>
        <v>0</v>
      </c>
      <c r="T73" s="385" t="n">
        <f aca="false">IF(16&lt;5,0,IF(MAX(O40:T40)&gt;T45+2+$B$18,1,0))</f>
        <v>0</v>
      </c>
      <c r="U73" s="385" t="n">
        <f aca="false">IF(17&lt;5,0,IF(MAX(P40:U40)&gt;U45+2+$B$18,1,0))</f>
        <v>0</v>
      </c>
      <c r="V73" s="385" t="n">
        <f aca="false">IF(18&lt;5,0,IF(MAX(Q40:V40)&gt;V45+2+$B$18,1,0))</f>
        <v>0</v>
      </c>
      <c r="W73" s="385" t="n">
        <f aca="false">IF(19&lt;5,0,IF(MAX(R40:W40)&gt;W45+2+$B$18,1,0))</f>
        <v>0</v>
      </c>
      <c r="X73" s="385" t="n">
        <f aca="false">IF(20&lt;5,0,IF(MAX(S40:X40)&gt;X45+2+$B$18,1,0))</f>
        <v>0</v>
      </c>
      <c r="Y73" s="385" t="n">
        <f aca="false">IF(21&lt;5,0,IF(MAX(T40:Y40)&gt;Y45+2+$B$18,1,0))</f>
        <v>0</v>
      </c>
      <c r="Z73" s="385" t="n">
        <f aca="false">IF(22&lt;5,0,IF(MAX(U40:Z40)&gt;Z45+2+$B$18,1,0))</f>
        <v>0</v>
      </c>
      <c r="AA73" s="385" t="n">
        <f aca="false">IF(23&lt;5,0,IF(MAX(V40:AA40)&gt;AA45+2+$B$18,1,0))</f>
        <v>0</v>
      </c>
      <c r="AB73" s="385" t="n">
        <f aca="false">IF(24&lt;5,0,IF(MAX(W40:AB40)&gt;AB45+2+$B$18,1,0))</f>
        <v>0</v>
      </c>
      <c r="AC73" s="385" t="n">
        <f aca="false">IF(25&lt;5,0,IF(MAX(X40:AC40)&gt;AC45+2+$B$18,1,0))</f>
        <v>0</v>
      </c>
      <c r="AD73" s="385" t="n">
        <f aca="false">IF(26&lt;5,0,IF(MAX(Y40:AD40)&gt;AD45+2+$B$18,1,0))</f>
        <v>0</v>
      </c>
      <c r="AE73" s="385" t="n">
        <f aca="false">IF(27&lt;5,0,IF(MAX(Z40:AE40)&gt;AE45+2+$B$18,1,0))</f>
        <v>0</v>
      </c>
      <c r="AF73" s="385" t="n">
        <f aca="false">IF(28&lt;5,0,IF(MAX(AA40:AF40)&gt;AF45+2+$B$18,1,0))</f>
        <v>0</v>
      </c>
      <c r="AG73" s="385" t="n">
        <f aca="false">IF(29&lt;5,0,IF(MAX(AB40:AG40)&gt;AG45+2+$B$18,1,0))</f>
        <v>0</v>
      </c>
      <c r="AH73" s="385" t="n">
        <f aca="false">IF(30&lt;5,0,IF(MAX(AC40:AH40)&gt;AH45+2+$B$18,1,0))</f>
        <v>0</v>
      </c>
      <c r="AI73" s="385" t="n">
        <f aca="false">IF(31&lt;5,0,IF(MAX(AD40:AI40)&gt;AI45+2+$B$18,1,0))</f>
        <v>0</v>
      </c>
      <c r="AJ73" s="385" t="n">
        <f aca="false">IF(32&lt;5,0,IF(MAX(AE40:AJ40)&gt;AJ45+2+$B$18,1,0))</f>
        <v>0</v>
      </c>
      <c r="AK73" s="385" t="n">
        <f aca="false">IF(33&lt;5,0,IF(MAX(AF40:AK40)&gt;AK45+2+$B$18,1,0))</f>
        <v>0</v>
      </c>
      <c r="AL73" s="385" t="n">
        <f aca="false">IF(34&lt;5,0,IF(MAX(AG40:AL40)&gt;AL45+2+$B$18,1,0))</f>
        <v>0</v>
      </c>
      <c r="AM73" s="385" t="n">
        <f aca="false">IF(35&lt;5,0,IF(MAX(AH40:AM40)&gt;AM45+2+$B$18,1,0))</f>
        <v>0</v>
      </c>
      <c r="AN73" s="385" t="n">
        <f aca="false">IF(36&lt;5,0,IF(MAX(AI40:AN40)&gt;AN45+2+$B$18,1,0))</f>
        <v>0</v>
      </c>
      <c r="AO73" s="385" t="n">
        <f aca="false">IF(37&lt;5,0,IF(MAX(AJ40:AO40)&gt;AO45+2+$B$18,1,0))</f>
        <v>0</v>
      </c>
      <c r="AP73" s="385" t="n">
        <f aca="false">IF(38&lt;5,0,IF(MAX(AK40:AP40)&gt;AP45+2+$B$18,1,0))</f>
        <v>0</v>
      </c>
      <c r="AQ73" s="385" t="n">
        <f aca="false">IF(39&lt;5,0,IF(MAX(AL40:AQ40)&gt;AQ45+2+$B$18,1,0))</f>
        <v>0</v>
      </c>
      <c r="AR73" s="385" t="n">
        <f aca="false">IF(40&lt;5,0,IF(MAX(AM40:AR40)&gt;AR45+2+$B$18,1,0))</f>
        <v>0</v>
      </c>
      <c r="AS73" s="385" t="n">
        <f aca="false">IF(41&lt;5,0,IF(MAX(AN40:AS40)&gt;AS45+2+$B$18,1,0))</f>
        <v>0</v>
      </c>
      <c r="AT73" s="385" t="n">
        <f aca="false">IF(42&lt;5,0,IF(MAX(AO40:AT40)&gt;AT45+2+$B$18,1,0))</f>
        <v>0</v>
      </c>
      <c r="AU73" s="385" t="n">
        <f aca="false">IF(43&lt;5,0,IF(MAX(AP40:AU40)&gt;AU45+2+$B$18,1,0))</f>
        <v>0</v>
      </c>
      <c r="AV73" s="385" t="n">
        <f aca="false">IF(44&lt;5,0,IF(MAX(AQ40:AV40)&gt;AV45+2+$B$18,1,0))</f>
        <v>0</v>
      </c>
      <c r="AW73" s="385" t="n">
        <f aca="false">IF(45&lt;5,0,IF(MAX(AR40:AW40)&gt;AW45+2+$B$18,1,0))</f>
        <v>0</v>
      </c>
      <c r="AX73" s="385" t="n">
        <f aca="false">IF(46&lt;5,0,IF(MAX(AS40:AX40)&gt;AX45+2+$B$18,1,0))</f>
        <v>0</v>
      </c>
      <c r="AY73" s="385" t="n">
        <f aca="false">IF(47&lt;5,0,IF(MAX(AT40:AY40)&gt;AY45+2+$B$18,1,0))</f>
        <v>0</v>
      </c>
      <c r="AZ73" s="385" t="n">
        <f aca="false">IF(48&lt;5,0,IF(MAX(AU40:AZ40)&gt;AZ45+2+$B$18,1,0))</f>
        <v>0</v>
      </c>
      <c r="BA73" s="385" t="n">
        <f aca="false">IF(49&lt;5,0,IF(MAX(AV40:BA40)&gt;BA45+2+$B$18,1,0))</f>
        <v>0</v>
      </c>
      <c r="BB73" s="385" t="n">
        <f aca="false">IF(50&lt;5,0,IF(MAX(AW40:BB40)&gt;BB45+2+$B$18,1,0))</f>
        <v>0</v>
      </c>
      <c r="BC73" s="385" t="n">
        <f aca="false">IF(51&lt;5,0,IF(MAX(AX40:BC40)&gt;BC45+2+$B$18,1,0))</f>
        <v>0</v>
      </c>
      <c r="BD73" s="385" t="n">
        <f aca="false">IF(52&lt;5,0,IF(MAX(AY40:BD40)&gt;BD45+2+$B$18,1,0))</f>
        <v>0</v>
      </c>
      <c r="BE73" s="385" t="n">
        <f aca="false">IF(53&lt;5,0,IF(MAX(AZ40:BE40)&gt;BE45+2+$B$18,1,0))</f>
        <v>0</v>
      </c>
      <c r="BF73" s="385" t="n">
        <f aca="false">IF(54&lt;5,0,IF(MAX(BA40:BF40)&gt;BF45+2+$B$18,1,0))</f>
        <v>0</v>
      </c>
      <c r="BG73" s="385" t="n">
        <f aca="false">IF(55&lt;5,0,IF(MAX(BB40:BG40)&gt;BG45+2+$B$18,1,0))</f>
        <v>0</v>
      </c>
      <c r="BH73" s="385" t="n">
        <f aca="false">IF(56&lt;5,0,IF(MAX(BC40:BH40)&gt;BH45+2+$B$18,1,0))</f>
        <v>0</v>
      </c>
      <c r="BI73" s="385" t="n">
        <f aca="false">IF(57&lt;5,0,IF(MAX(BD40:BI40)&gt;BI45+2+$B$18,1,0))</f>
        <v>0</v>
      </c>
      <c r="BJ73" s="385" t="n">
        <f aca="false">IF(58&lt;5,0,IF(MAX(BE40:BJ40)&gt;BJ45+2+$B$18,1,0))</f>
        <v>0</v>
      </c>
      <c r="BK73" s="385" t="n">
        <f aca="false">IF(59&lt;5,0,IF(MAX(BF40:BK40)&gt;BK45+2+$B$18,1,0))</f>
        <v>0</v>
      </c>
      <c r="BL73" s="385" t="n">
        <f aca="false">IF(60&lt;5,0,IF(MAX(BG40:BL40)&gt;BL45+2+$B$18,1,0))</f>
        <v>0</v>
      </c>
      <c r="BM73" s="385" t="n">
        <f aca="false">IF(61&lt;5,0,IF(MAX(BH40:BM40)&gt;BM45+2+$B$18,1,0))</f>
        <v>0</v>
      </c>
      <c r="BN73" s="385" t="n">
        <f aca="false">IF(62&lt;5,0,IF(MAX(BI40:BN40)&gt;BN45+2+$B$18,1,0))</f>
        <v>0</v>
      </c>
      <c r="BO73" s="385" t="n">
        <f aca="false">IF(63&lt;5,0,IF(MAX(BJ40:BO40)&gt;BO45+2+$B$18,1,0))</f>
        <v>0</v>
      </c>
      <c r="BP73" s="385" t="n">
        <f aca="false">IF(64&lt;5,0,IF(MAX(BK40:BP40)&gt;BP45+2+$B$18,1,0))</f>
        <v>0</v>
      </c>
      <c r="BQ73" s="385" t="n">
        <f aca="false">IF(65&lt;5,0,IF(MAX(BL40:BQ40)&gt;BQ45+2+$B$18,1,0))</f>
        <v>0</v>
      </c>
      <c r="BR73" s="385" t="n">
        <f aca="false">IF(66&lt;5,0,IF(MAX(BM40:BR40)&gt;BR45+2+$B$18,1,0))</f>
        <v>0</v>
      </c>
      <c r="BS73" s="385" t="n">
        <f aca="false">IF(67&lt;5,0,IF(MAX(BN40:BS40)&gt;BS45+2+$B$18,1,0))</f>
        <v>0</v>
      </c>
      <c r="BT73" s="385" t="n">
        <f aca="false">IF(68&lt;5,0,IF(MAX(BO40:BT40)&gt;BT45+2+$B$18,1,0))</f>
        <v>0</v>
      </c>
      <c r="BU73" s="385" t="n">
        <f aca="false">IF(69&lt;5,0,IF(MAX(BP40:BU40)&gt;BU45+2+$B$18,1,0))</f>
        <v>0</v>
      </c>
      <c r="BV73" s="385" t="n">
        <f aca="false">IF(70&lt;5,0,IF(MAX(BQ40:BV40)&gt;BV45+2+$B$18,1,0))</f>
        <v>0</v>
      </c>
      <c r="BW73" s="385" t="n">
        <f aca="false">IF(71&lt;5,0,IF(MAX(BR40:BW40)&gt;BW45+2+$B$18,1,0))</f>
        <v>0</v>
      </c>
      <c r="BX73" s="385" t="n">
        <f aca="false">IF(72&lt;5,0,IF(MAX(BS40:BX40)&gt;BX45+2+$B$18,1,0))</f>
        <v>0</v>
      </c>
      <c r="BY73" s="385" t="n">
        <f aca="false">IF(73&lt;5,0,IF(MAX(BT40:BY40)&gt;BY45+2+$B$18,1,0))</f>
        <v>0</v>
      </c>
      <c r="BZ73" s="385" t="n">
        <f aca="false">IF(74&lt;5,0,IF(MAX(BU40:BZ40)&gt;BZ45+2+$B$18,1,0))</f>
        <v>0</v>
      </c>
      <c r="CA73" s="385" t="n">
        <f aca="false">IF(75&lt;5,0,IF(MAX(BV40:CA40)&gt;CA45+2+$B$18,1,0))</f>
        <v>0</v>
      </c>
      <c r="CB73" s="385" t="n">
        <f aca="false">IF(76&lt;5,0,IF(MAX(BW40:CB40)&gt;CB45+2+$B$18,1,0))</f>
        <v>0</v>
      </c>
      <c r="CC73" s="385" t="n">
        <f aca="false">IF(77&lt;5,0,IF(MAX(BX40:CC40)&gt;CC45+2+$B$18,1,0))</f>
        <v>0</v>
      </c>
      <c r="CD73" s="385" t="n">
        <f aca="false">IF(78&lt;5,0,IF(MAX(BY40:CD40)&gt;CD45+2+$B$18,1,0))</f>
        <v>0</v>
      </c>
      <c r="CE73" s="385" t="n">
        <f aca="false">IF(79&lt;5,0,IF(MAX(BZ40:CE40)&gt;CE45+2+$B$18,1,0))</f>
        <v>0</v>
      </c>
      <c r="CF73" s="385" t="n">
        <f aca="false">IF(80&lt;5,0,IF(MAX(CA40:CF40)&gt;CF45+2+$B$18,1,0))</f>
        <v>0</v>
      </c>
      <c r="CG73" s="385" t="n">
        <f aca="false">IF(81&lt;5,0,IF(MAX(CB40:CG40)&gt;CG45+2+$B$18,1,0))</f>
        <v>0</v>
      </c>
      <c r="CH73" s="385" t="n">
        <f aca="false">IF(82&lt;5,0,IF(MAX(CC40:CH40)&gt;CH45+2+$B$18,1,0))</f>
        <v>0</v>
      </c>
      <c r="CI73" s="385" t="n">
        <f aca="false">IF(83&lt;5,0,IF(MAX(CD40:CI40)&gt;CI45+2+$B$18,1,0))</f>
        <v>0</v>
      </c>
      <c r="CJ73" s="385" t="n">
        <f aca="false">IF(84&lt;5,0,IF(MAX(CE40:CJ40)&gt;CJ45+2+$B$18,1,0))</f>
        <v>0</v>
      </c>
      <c r="CK73" s="385" t="n">
        <f aca="false">IF(85&lt;5,0,IF(MAX(CF40:CK40)&gt;CK45+2+$B$18,1,0))</f>
        <v>0</v>
      </c>
      <c r="CL73" s="385" t="n">
        <f aca="false">IF(86&lt;5,0,IF(MAX(CG40:CL40)&gt;CL45+2+$B$18,1,0))</f>
        <v>0</v>
      </c>
      <c r="CM73" s="385" t="n">
        <f aca="false">IF(87&lt;5,0,IF(MAX(CH40:CM40)&gt;CM45+2+$B$18,1,0))</f>
        <v>0</v>
      </c>
      <c r="CN73" s="385" t="n">
        <f aca="false">IF(88&lt;5,0,IF(MAX(CI40:CN40)&gt;CN45+2+$B$18,1,0))</f>
        <v>0</v>
      </c>
      <c r="CO73" s="385" t="n">
        <f aca="false">IF(89&lt;5,0,IF(MAX(CJ40:CO40)&gt;CO45+2+$B$18,1,0))</f>
        <v>0</v>
      </c>
      <c r="CP73" s="385" t="n">
        <f aca="false">IF(90&lt;5,0,IF(MAX(CK40:CP40)&gt;CP45+2+$B$18,1,0))</f>
        <v>0</v>
      </c>
      <c r="CQ73" s="385" t="n">
        <f aca="false">IF(91&lt;5,0,IF(MAX(CL40:CQ40)&gt;CQ45+2+$B$18,1,0))</f>
        <v>0</v>
      </c>
      <c r="CR73" s="385" t="n">
        <f aca="false">IF(92&lt;5,0,IF(MAX(CM40:CR40)&gt;CR45+2+$B$18,1,0))</f>
        <v>0</v>
      </c>
      <c r="CS73" s="385" t="n">
        <f aca="false">IF(93&lt;5,0,IF(MAX(CN40:CS40)&gt;CS45+2+$B$18,1,0))</f>
        <v>0</v>
      </c>
      <c r="CT73" s="385" t="n">
        <f aca="false">IF(94&lt;5,0,IF(MAX(CO40:CT40)&gt;CT45+2+$B$18,1,0))</f>
        <v>0</v>
      </c>
      <c r="CU73" s="385" t="n">
        <f aca="false">IF(95&lt;5,0,IF(MAX(CP40:CU40)&gt;CU45+2+$B$18,1,0))</f>
        <v>0</v>
      </c>
      <c r="CV73" s="385" t="n">
        <f aca="false">IF(96&lt;5,0,IF(MAX(CQ40:CV40)&gt;CV45+2+$B$18,1,0))</f>
        <v>0</v>
      </c>
      <c r="CW73" s="385" t="n">
        <f aca="false">IF(97&lt;5,0,IF(MAX(CR40:CW40)&gt;CW45+2+$B$18,1,0))</f>
        <v>0</v>
      </c>
      <c r="CX73" s="385" t="n">
        <f aca="false">IF(98&lt;5,0,IF(MAX(CS40:CX40)&gt;CX45+2+$B$18,1,0))</f>
        <v>0</v>
      </c>
      <c r="CY73" s="385" t="n">
        <f aca="false">IF(99&lt;5,0,IF(MAX(CT40:CY40)&gt;CY45+2+$B$18,1,0))</f>
        <v>0</v>
      </c>
      <c r="CZ73" s="385" t="n">
        <f aca="false">IF(100&lt;5,0,IF(MAX(CU40:CZ40)&gt;CZ45+2+$B$18,1,0))</f>
        <v>0</v>
      </c>
      <c r="DA73" s="385" t="n">
        <f aca="false">IF(101&lt;5,0,IF(MAX(CV40:DA40)&gt;DA45+2+$B$18,1,0))</f>
        <v>0</v>
      </c>
      <c r="DB73" s="385" t="n">
        <f aca="false">IF(102&lt;5,0,IF(MAX(CW40:DB40)&gt;DB45+2+$B$18,1,0))</f>
        <v>0</v>
      </c>
      <c r="DC73" s="385" t="n">
        <f aca="false">IF(103&lt;5,0,IF(MAX(CX40:DC40)&gt;DC45+2+$B$18,1,0))</f>
        <v>0</v>
      </c>
      <c r="DD73" s="385" t="n">
        <f aca="false">IF(104&lt;5,0,IF(MAX(CY40:DD40)&gt;DD45+2+$B$18,1,0))</f>
        <v>0</v>
      </c>
      <c r="DE73" s="385" t="n">
        <f aca="false">IF(105&lt;5,0,IF(MAX(CZ40:DE40)&gt;DE45+2+$B$18,1,0))</f>
        <v>0</v>
      </c>
    </row>
    <row r="74" customFormat="false" ht="13.5" hidden="false" customHeight="true" outlineLevel="0" collapsed="false">
      <c r="A74" s="110" t="s">
        <v>1406</v>
      </c>
      <c r="B74" s="213" t="n">
        <f aca="false">$B$29</f>
        <v>180000</v>
      </c>
      <c r="E74" s="385" t="n">
        <f aca="false">IF(1&lt;5,0,IF(MAX(E40)&gt;E45+3+$B$18,1,0))</f>
        <v>0</v>
      </c>
      <c r="F74" s="385" t="n">
        <f aca="false">IF(2&lt;5,0,IF(MAX(E40:F40)&gt;F45+3+$B$18,1,0))</f>
        <v>0</v>
      </c>
      <c r="G74" s="385" t="n">
        <f aca="false">IF(3&lt;5,0,IF(MAX(E40:G40)&gt;G45+3+$B$18,1,0))</f>
        <v>0</v>
      </c>
      <c r="H74" s="385" t="n">
        <f aca="false">IF(4&lt;5,0,IF(MAX(E40:H40)&gt;H45+3+$B$18,1,0))</f>
        <v>0</v>
      </c>
      <c r="I74" s="385" t="n">
        <f aca="false">IF(5&lt;5,0,IF(MAX(E40:I40)&gt;I45+3+$B$18,1,0))</f>
        <v>0</v>
      </c>
      <c r="J74" s="385" t="n">
        <f aca="false">IF(6&lt;5,0,IF(MAX(E40:J40)&gt;J45+3+$B$18,1,0))</f>
        <v>0</v>
      </c>
      <c r="K74" s="385" t="n">
        <f aca="false">IF(7&lt;5,0,IF(MAX(F40:K40)&gt;K45+3+$B$18,1,0))</f>
        <v>0</v>
      </c>
      <c r="L74" s="385" t="n">
        <f aca="false">IF(8&lt;5,0,IF(MAX(G40:L40)&gt;L45+3+$B$18,1,0))</f>
        <v>0</v>
      </c>
      <c r="M74" s="385" t="n">
        <f aca="false">IF(9&lt;5,0,IF(MAX(H40:M40)&gt;M45+3+$B$18,1,0))</f>
        <v>0</v>
      </c>
      <c r="N74" s="385" t="n">
        <f aca="false">IF(10&lt;5,0,IF(MAX(I40:N40)&gt;N45+3+$B$18,1,0))</f>
        <v>0</v>
      </c>
      <c r="O74" s="385" t="n">
        <f aca="false">IF(11&lt;5,0,IF(MAX(J40:O40)&gt;O45+3+$B$18,1,0))</f>
        <v>0</v>
      </c>
      <c r="P74" s="385" t="n">
        <f aca="false">IF(12&lt;5,0,IF(MAX(K40:P40)&gt;P45+3+$B$18,1,0))</f>
        <v>0</v>
      </c>
      <c r="Q74" s="385" t="n">
        <f aca="false">IF(13&lt;5,0,IF(MAX(L40:Q40)&gt;Q45+3+$B$18,1,0))</f>
        <v>0</v>
      </c>
      <c r="R74" s="385" t="n">
        <f aca="false">IF(14&lt;5,0,IF(MAX(M40:R40)&gt;R45+3+$B$18,1,0))</f>
        <v>0</v>
      </c>
      <c r="S74" s="385" t="n">
        <f aca="false">IF(15&lt;5,0,IF(MAX(N40:S40)&gt;S45+3+$B$18,1,0))</f>
        <v>0</v>
      </c>
      <c r="T74" s="385" t="n">
        <f aca="false">IF(16&lt;5,0,IF(MAX(O40:T40)&gt;T45+3+$B$18,1,0))</f>
        <v>0</v>
      </c>
      <c r="U74" s="385" t="n">
        <f aca="false">IF(17&lt;5,0,IF(MAX(P40:U40)&gt;U45+3+$B$18,1,0))</f>
        <v>0</v>
      </c>
      <c r="V74" s="385" t="n">
        <f aca="false">IF(18&lt;5,0,IF(MAX(Q40:V40)&gt;V45+3+$B$18,1,0))</f>
        <v>0</v>
      </c>
      <c r="W74" s="385" t="n">
        <f aca="false">IF(19&lt;5,0,IF(MAX(R40:W40)&gt;W45+3+$B$18,1,0))</f>
        <v>0</v>
      </c>
      <c r="X74" s="385" t="n">
        <f aca="false">IF(20&lt;5,0,IF(MAX(S40:X40)&gt;X45+3+$B$18,1,0))</f>
        <v>0</v>
      </c>
      <c r="Y74" s="385" t="n">
        <f aca="false">IF(21&lt;5,0,IF(MAX(T40:Y40)&gt;Y45+3+$B$18,1,0))</f>
        <v>0</v>
      </c>
      <c r="Z74" s="385" t="n">
        <f aca="false">IF(22&lt;5,0,IF(MAX(U40:Z40)&gt;Z45+3+$B$18,1,0))</f>
        <v>0</v>
      </c>
      <c r="AA74" s="385" t="n">
        <f aca="false">IF(23&lt;5,0,IF(MAX(V40:AA40)&gt;AA45+3+$B$18,1,0))</f>
        <v>0</v>
      </c>
      <c r="AB74" s="385" t="n">
        <f aca="false">IF(24&lt;5,0,IF(MAX(W40:AB40)&gt;AB45+3+$B$18,1,0))</f>
        <v>0</v>
      </c>
      <c r="AC74" s="385" t="n">
        <f aca="false">IF(25&lt;5,0,IF(MAX(X40:AC40)&gt;AC45+3+$B$18,1,0))</f>
        <v>0</v>
      </c>
      <c r="AD74" s="385" t="n">
        <f aca="false">IF(26&lt;5,0,IF(MAX(Y40:AD40)&gt;AD45+3+$B$18,1,0))</f>
        <v>0</v>
      </c>
      <c r="AE74" s="385" t="n">
        <f aca="false">IF(27&lt;5,0,IF(MAX(Z40:AE40)&gt;AE45+3+$B$18,1,0))</f>
        <v>0</v>
      </c>
      <c r="AF74" s="385" t="n">
        <f aca="false">IF(28&lt;5,0,IF(MAX(AA40:AF40)&gt;AF45+3+$B$18,1,0))</f>
        <v>0</v>
      </c>
      <c r="AG74" s="385" t="n">
        <f aca="false">IF(29&lt;5,0,IF(MAX(AB40:AG40)&gt;AG45+3+$B$18,1,0))</f>
        <v>0</v>
      </c>
      <c r="AH74" s="385" t="n">
        <f aca="false">IF(30&lt;5,0,IF(MAX(AC40:AH40)&gt;AH45+3+$B$18,1,0))</f>
        <v>0</v>
      </c>
      <c r="AI74" s="385" t="n">
        <f aca="false">IF(31&lt;5,0,IF(MAX(AD40:AI40)&gt;AI45+3+$B$18,1,0))</f>
        <v>0</v>
      </c>
      <c r="AJ74" s="385" t="n">
        <f aca="false">IF(32&lt;5,0,IF(MAX(AE40:AJ40)&gt;AJ45+3+$B$18,1,0))</f>
        <v>0</v>
      </c>
      <c r="AK74" s="385" t="n">
        <f aca="false">IF(33&lt;5,0,IF(MAX(AF40:AK40)&gt;AK45+3+$B$18,1,0))</f>
        <v>0</v>
      </c>
      <c r="AL74" s="385" t="n">
        <f aca="false">IF(34&lt;5,0,IF(MAX(AG40:AL40)&gt;AL45+3+$B$18,1,0))</f>
        <v>0</v>
      </c>
      <c r="AM74" s="385" t="n">
        <f aca="false">IF(35&lt;5,0,IF(MAX(AH40:AM40)&gt;AM45+3+$B$18,1,0))</f>
        <v>0</v>
      </c>
      <c r="AN74" s="385" t="n">
        <f aca="false">IF(36&lt;5,0,IF(MAX(AI40:AN40)&gt;AN45+3+$B$18,1,0))</f>
        <v>0</v>
      </c>
      <c r="AO74" s="385" t="n">
        <f aca="false">IF(37&lt;5,0,IF(MAX(AJ40:AO40)&gt;AO45+3+$B$18,1,0))</f>
        <v>0</v>
      </c>
      <c r="AP74" s="385" t="n">
        <f aca="false">IF(38&lt;5,0,IF(MAX(AK40:AP40)&gt;AP45+3+$B$18,1,0))</f>
        <v>0</v>
      </c>
      <c r="AQ74" s="385" t="n">
        <f aca="false">IF(39&lt;5,0,IF(MAX(AL40:AQ40)&gt;AQ45+3+$B$18,1,0))</f>
        <v>0</v>
      </c>
      <c r="AR74" s="385" t="n">
        <f aca="false">IF(40&lt;5,0,IF(MAX(AM40:AR40)&gt;AR45+3+$B$18,1,0))</f>
        <v>0</v>
      </c>
      <c r="AS74" s="385" t="n">
        <f aca="false">IF(41&lt;5,0,IF(MAX(AN40:AS40)&gt;AS45+3+$B$18,1,0))</f>
        <v>0</v>
      </c>
      <c r="AT74" s="385" t="n">
        <f aca="false">IF(42&lt;5,0,IF(MAX(AO40:AT40)&gt;AT45+3+$B$18,1,0))</f>
        <v>0</v>
      </c>
      <c r="AU74" s="385" t="n">
        <f aca="false">IF(43&lt;5,0,IF(MAX(AP40:AU40)&gt;AU45+3+$B$18,1,0))</f>
        <v>0</v>
      </c>
      <c r="AV74" s="385" t="n">
        <f aca="false">IF(44&lt;5,0,IF(MAX(AQ40:AV40)&gt;AV45+3+$B$18,1,0))</f>
        <v>0</v>
      </c>
      <c r="AW74" s="385" t="n">
        <f aca="false">IF(45&lt;5,0,IF(MAX(AR40:AW40)&gt;AW45+3+$B$18,1,0))</f>
        <v>0</v>
      </c>
      <c r="AX74" s="385" t="n">
        <f aca="false">IF(46&lt;5,0,IF(MAX(AS40:AX40)&gt;AX45+3+$B$18,1,0))</f>
        <v>0</v>
      </c>
      <c r="AY74" s="385" t="n">
        <f aca="false">IF(47&lt;5,0,IF(MAX(AT40:AY40)&gt;AY45+3+$B$18,1,0))</f>
        <v>0</v>
      </c>
      <c r="AZ74" s="385" t="n">
        <f aca="false">IF(48&lt;5,0,IF(MAX(AU40:AZ40)&gt;AZ45+3+$B$18,1,0))</f>
        <v>0</v>
      </c>
      <c r="BA74" s="385" t="n">
        <f aca="false">IF(49&lt;5,0,IF(MAX(AV40:BA40)&gt;BA45+3+$B$18,1,0))</f>
        <v>0</v>
      </c>
      <c r="BB74" s="385" t="n">
        <f aca="false">IF(50&lt;5,0,IF(MAX(AW40:BB40)&gt;BB45+3+$B$18,1,0))</f>
        <v>0</v>
      </c>
      <c r="BC74" s="385" t="n">
        <f aca="false">IF(51&lt;5,0,IF(MAX(AX40:BC40)&gt;BC45+3+$B$18,1,0))</f>
        <v>0</v>
      </c>
      <c r="BD74" s="385" t="n">
        <f aca="false">IF(52&lt;5,0,IF(MAX(AY40:BD40)&gt;BD45+3+$B$18,1,0))</f>
        <v>0</v>
      </c>
      <c r="BE74" s="385" t="n">
        <f aca="false">IF(53&lt;5,0,IF(MAX(AZ40:BE40)&gt;BE45+3+$B$18,1,0))</f>
        <v>0</v>
      </c>
      <c r="BF74" s="385" t="n">
        <f aca="false">IF(54&lt;5,0,IF(MAX(BA40:BF40)&gt;BF45+3+$B$18,1,0))</f>
        <v>0</v>
      </c>
      <c r="BG74" s="385" t="n">
        <f aca="false">IF(55&lt;5,0,IF(MAX(BB40:BG40)&gt;BG45+3+$B$18,1,0))</f>
        <v>0</v>
      </c>
      <c r="BH74" s="385" t="n">
        <f aca="false">IF(56&lt;5,0,IF(MAX(BC40:BH40)&gt;BH45+3+$B$18,1,0))</f>
        <v>0</v>
      </c>
      <c r="BI74" s="385" t="n">
        <f aca="false">IF(57&lt;5,0,IF(MAX(BD40:BI40)&gt;BI45+3+$B$18,1,0))</f>
        <v>0</v>
      </c>
      <c r="BJ74" s="385" t="n">
        <f aca="false">IF(58&lt;5,0,IF(MAX(BE40:BJ40)&gt;BJ45+3+$B$18,1,0))</f>
        <v>0</v>
      </c>
      <c r="BK74" s="385" t="n">
        <f aca="false">IF(59&lt;5,0,IF(MAX(BF40:BK40)&gt;BK45+3+$B$18,1,0))</f>
        <v>0</v>
      </c>
      <c r="BL74" s="385" t="n">
        <f aca="false">IF(60&lt;5,0,IF(MAX(BG40:BL40)&gt;BL45+3+$B$18,1,0))</f>
        <v>0</v>
      </c>
      <c r="BM74" s="385" t="n">
        <f aca="false">IF(61&lt;5,0,IF(MAX(BH40:BM40)&gt;BM45+3+$B$18,1,0))</f>
        <v>0</v>
      </c>
      <c r="BN74" s="385" t="n">
        <f aca="false">IF(62&lt;5,0,IF(MAX(BI40:BN40)&gt;BN45+3+$B$18,1,0))</f>
        <v>0</v>
      </c>
      <c r="BO74" s="385" t="n">
        <f aca="false">IF(63&lt;5,0,IF(MAX(BJ40:BO40)&gt;BO45+3+$B$18,1,0))</f>
        <v>0</v>
      </c>
      <c r="BP74" s="385" t="n">
        <f aca="false">IF(64&lt;5,0,IF(MAX(BK40:BP40)&gt;BP45+3+$B$18,1,0))</f>
        <v>0</v>
      </c>
      <c r="BQ74" s="385" t="n">
        <f aca="false">IF(65&lt;5,0,IF(MAX(BL40:BQ40)&gt;BQ45+3+$B$18,1,0))</f>
        <v>0</v>
      </c>
      <c r="BR74" s="385" t="n">
        <f aca="false">IF(66&lt;5,0,IF(MAX(BM40:BR40)&gt;BR45+3+$B$18,1,0))</f>
        <v>0</v>
      </c>
      <c r="BS74" s="385" t="n">
        <f aca="false">IF(67&lt;5,0,IF(MAX(BN40:BS40)&gt;BS45+3+$B$18,1,0))</f>
        <v>0</v>
      </c>
      <c r="BT74" s="385" t="n">
        <f aca="false">IF(68&lt;5,0,IF(MAX(BO40:BT40)&gt;BT45+3+$B$18,1,0))</f>
        <v>0</v>
      </c>
      <c r="BU74" s="385" t="n">
        <f aca="false">IF(69&lt;5,0,IF(MAX(BP40:BU40)&gt;BU45+3+$B$18,1,0))</f>
        <v>0</v>
      </c>
      <c r="BV74" s="385" t="n">
        <f aca="false">IF(70&lt;5,0,IF(MAX(BQ40:BV40)&gt;BV45+3+$B$18,1,0))</f>
        <v>0</v>
      </c>
      <c r="BW74" s="385" t="n">
        <f aca="false">IF(71&lt;5,0,IF(MAX(BR40:BW40)&gt;BW45+3+$B$18,1,0))</f>
        <v>0</v>
      </c>
      <c r="BX74" s="385" t="n">
        <f aca="false">IF(72&lt;5,0,IF(MAX(BS40:BX40)&gt;BX45+3+$B$18,1,0))</f>
        <v>0</v>
      </c>
      <c r="BY74" s="385" t="n">
        <f aca="false">IF(73&lt;5,0,IF(MAX(BT40:BY40)&gt;BY45+3+$B$18,1,0))</f>
        <v>0</v>
      </c>
      <c r="BZ74" s="385" t="n">
        <f aca="false">IF(74&lt;5,0,IF(MAX(BU40:BZ40)&gt;BZ45+3+$B$18,1,0))</f>
        <v>0</v>
      </c>
      <c r="CA74" s="385" t="n">
        <f aca="false">IF(75&lt;5,0,IF(MAX(BV40:CA40)&gt;CA45+3+$B$18,1,0))</f>
        <v>0</v>
      </c>
      <c r="CB74" s="385" t="n">
        <f aca="false">IF(76&lt;5,0,IF(MAX(BW40:CB40)&gt;CB45+3+$B$18,1,0))</f>
        <v>0</v>
      </c>
      <c r="CC74" s="385" t="n">
        <f aca="false">IF(77&lt;5,0,IF(MAX(BX40:CC40)&gt;CC45+3+$B$18,1,0))</f>
        <v>0</v>
      </c>
      <c r="CD74" s="385" t="n">
        <f aca="false">IF(78&lt;5,0,IF(MAX(BY40:CD40)&gt;CD45+3+$B$18,1,0))</f>
        <v>0</v>
      </c>
      <c r="CE74" s="385" t="n">
        <f aca="false">IF(79&lt;5,0,IF(MAX(BZ40:CE40)&gt;CE45+3+$B$18,1,0))</f>
        <v>0</v>
      </c>
      <c r="CF74" s="385" t="n">
        <f aca="false">IF(80&lt;5,0,IF(MAX(CA40:CF40)&gt;CF45+3+$B$18,1,0))</f>
        <v>0</v>
      </c>
      <c r="CG74" s="385" t="n">
        <f aca="false">IF(81&lt;5,0,IF(MAX(CB40:CG40)&gt;CG45+3+$B$18,1,0))</f>
        <v>0</v>
      </c>
      <c r="CH74" s="385" t="n">
        <f aca="false">IF(82&lt;5,0,IF(MAX(CC40:CH40)&gt;CH45+3+$B$18,1,0))</f>
        <v>0</v>
      </c>
      <c r="CI74" s="385" t="n">
        <f aca="false">IF(83&lt;5,0,IF(MAX(CD40:CI40)&gt;CI45+3+$B$18,1,0))</f>
        <v>0</v>
      </c>
      <c r="CJ74" s="385" t="n">
        <f aca="false">IF(84&lt;5,0,IF(MAX(CE40:CJ40)&gt;CJ45+3+$B$18,1,0))</f>
        <v>0</v>
      </c>
      <c r="CK74" s="385" t="n">
        <f aca="false">IF(85&lt;5,0,IF(MAX(CF40:CK40)&gt;CK45+3+$B$18,1,0))</f>
        <v>0</v>
      </c>
      <c r="CL74" s="385" t="n">
        <f aca="false">IF(86&lt;5,0,IF(MAX(CG40:CL40)&gt;CL45+3+$B$18,1,0))</f>
        <v>0</v>
      </c>
      <c r="CM74" s="385" t="n">
        <f aca="false">IF(87&lt;5,0,IF(MAX(CH40:CM40)&gt;CM45+3+$B$18,1,0))</f>
        <v>0</v>
      </c>
      <c r="CN74" s="385" t="n">
        <f aca="false">IF(88&lt;5,0,IF(MAX(CI40:CN40)&gt;CN45+3+$B$18,1,0))</f>
        <v>0</v>
      </c>
      <c r="CO74" s="385" t="n">
        <f aca="false">IF(89&lt;5,0,IF(MAX(CJ40:CO40)&gt;CO45+3+$B$18,1,0))</f>
        <v>0</v>
      </c>
      <c r="CP74" s="385" t="n">
        <f aca="false">IF(90&lt;5,0,IF(MAX(CK40:CP40)&gt;CP45+3+$B$18,1,0))</f>
        <v>0</v>
      </c>
      <c r="CQ74" s="385" t="n">
        <f aca="false">IF(91&lt;5,0,IF(MAX(CL40:CQ40)&gt;CQ45+3+$B$18,1,0))</f>
        <v>0</v>
      </c>
      <c r="CR74" s="385" t="n">
        <f aca="false">IF(92&lt;5,0,IF(MAX(CM40:CR40)&gt;CR45+3+$B$18,1,0))</f>
        <v>0</v>
      </c>
      <c r="CS74" s="385" t="n">
        <f aca="false">IF(93&lt;5,0,IF(MAX(CN40:CS40)&gt;CS45+3+$B$18,1,0))</f>
        <v>0</v>
      </c>
      <c r="CT74" s="385" t="n">
        <f aca="false">IF(94&lt;5,0,IF(MAX(CO40:CT40)&gt;CT45+3+$B$18,1,0))</f>
        <v>0</v>
      </c>
      <c r="CU74" s="385" t="n">
        <f aca="false">IF(95&lt;5,0,IF(MAX(CP40:CU40)&gt;CU45+3+$B$18,1,0))</f>
        <v>0</v>
      </c>
      <c r="CV74" s="385" t="n">
        <f aca="false">IF(96&lt;5,0,IF(MAX(CQ40:CV40)&gt;CV45+3+$B$18,1,0))</f>
        <v>0</v>
      </c>
      <c r="CW74" s="385" t="n">
        <f aca="false">IF(97&lt;5,0,IF(MAX(CR40:CW40)&gt;CW45+3+$B$18,1,0))</f>
        <v>0</v>
      </c>
      <c r="CX74" s="385" t="n">
        <f aca="false">IF(98&lt;5,0,IF(MAX(CS40:CX40)&gt;CX45+3+$B$18,1,0))</f>
        <v>0</v>
      </c>
      <c r="CY74" s="385" t="n">
        <f aca="false">IF(99&lt;5,0,IF(MAX(CT40:CY40)&gt;CY45+3+$B$18,1,0))</f>
        <v>0</v>
      </c>
      <c r="CZ74" s="385" t="n">
        <f aca="false">IF(100&lt;5,0,IF(MAX(CU40:CZ40)&gt;CZ45+3+$B$18,1,0))</f>
        <v>0</v>
      </c>
      <c r="DA74" s="385" t="n">
        <f aca="false">IF(101&lt;5,0,IF(MAX(CV40:DA40)&gt;DA45+3+$B$18,1,0))</f>
        <v>0</v>
      </c>
      <c r="DB74" s="385" t="n">
        <f aca="false">IF(102&lt;5,0,IF(MAX(CW40:DB40)&gt;DB45+3+$B$18,1,0))</f>
        <v>0</v>
      </c>
      <c r="DC74" s="385" t="n">
        <f aca="false">IF(103&lt;5,0,IF(MAX(CX40:DC40)&gt;DC45+3+$B$18,1,0))</f>
        <v>0</v>
      </c>
      <c r="DD74" s="385" t="n">
        <f aca="false">IF(104&lt;5,0,IF(MAX(CY40:DD40)&gt;DD45+3+$B$18,1,0))</f>
        <v>0</v>
      </c>
      <c r="DE74" s="385"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1407</v>
      </c>
      <c r="B77" s="213" t="n">
        <f aca="false">$B$30</f>
        <v>80000</v>
      </c>
      <c r="E77" s="385" t="n">
        <f aca="false">IF(1&lt;5,0,IF(MAX(E37)&gt;=$B$22,1,0))</f>
        <v>0</v>
      </c>
      <c r="F77" s="385" t="n">
        <f aca="false">IF(2&lt;5,0,IF(MAX(E37:F37)&gt;=$B$22,1,0))</f>
        <v>0</v>
      </c>
      <c r="G77" s="385" t="n">
        <f aca="false">IF(3&lt;5,0,IF(MAX(E37:G37)&gt;=$B$22,1,0))</f>
        <v>0</v>
      </c>
      <c r="H77" s="385" t="n">
        <f aca="false">IF(4&lt;5,0,IF(MAX(E37:H37)&gt;=$B$22,1,0))</f>
        <v>0</v>
      </c>
      <c r="I77" s="385" t="n">
        <f aca="false">IF(5&lt;5,0,IF(MAX(E37:I37)&gt;=$B$22,1,0))</f>
        <v>0</v>
      </c>
      <c r="J77" s="385" t="n">
        <f aca="false">IF(6&lt;5,0,IF(MAX(E37:J37)&gt;=$B$22,1,0))</f>
        <v>0</v>
      </c>
      <c r="K77" s="385" t="n">
        <f aca="false">IF(7&lt;5,0,IF(MAX(F37:K37)&gt;=$B$22,1,0))</f>
        <v>0</v>
      </c>
      <c r="L77" s="385" t="n">
        <f aca="false">IF(8&lt;5,0,IF(MAX(G37:L37)&gt;=$B$22,1,0))</f>
        <v>0</v>
      </c>
      <c r="M77" s="385" t="n">
        <f aca="false">IF(9&lt;5,0,IF(MAX(H37:M37)&gt;=$B$22,1,0))</f>
        <v>0</v>
      </c>
      <c r="N77" s="385" t="n">
        <f aca="false">IF(10&lt;5,0,IF(MAX(I37:N37)&gt;=$B$22,1,0))</f>
        <v>0</v>
      </c>
      <c r="O77" s="385" t="n">
        <f aca="false">IF(11&lt;5,0,IF(MAX(J37:O37)&gt;=$B$22,1,0))</f>
        <v>1</v>
      </c>
      <c r="P77" s="385" t="n">
        <f aca="false">IF(12&lt;5,0,IF(MAX(K37:P37)&gt;=$B$22,1,0))</f>
        <v>1</v>
      </c>
      <c r="Q77" s="385" t="n">
        <f aca="false">IF(13&lt;5,0,IF(MAX(L37:Q37)&gt;=$B$22,1,0))</f>
        <v>1</v>
      </c>
      <c r="R77" s="385" t="n">
        <f aca="false">IF(14&lt;5,0,IF(MAX(M37:R37)&gt;=$B$22,1,0))</f>
        <v>1</v>
      </c>
      <c r="S77" s="385" t="n">
        <f aca="false">IF(15&lt;5,0,IF(MAX(N37:S37)&gt;=$B$22,1,0))</f>
        <v>1</v>
      </c>
      <c r="T77" s="385" t="n">
        <f aca="false">IF(16&lt;5,0,IF(MAX(O37:T37)&gt;=$B$22,1,0))</f>
        <v>1</v>
      </c>
      <c r="U77" s="385" t="n">
        <f aca="false">IF(17&lt;5,0,IF(MAX(P37:U37)&gt;=$B$22,1,0))</f>
        <v>1</v>
      </c>
      <c r="V77" s="385" t="n">
        <f aca="false">IF(18&lt;5,0,IF(MAX(Q37:V37)&gt;=$B$22,1,0))</f>
        <v>1</v>
      </c>
      <c r="W77" s="385" t="n">
        <f aca="false">IF(19&lt;5,0,IF(MAX(R37:W37)&gt;=$B$22,1,0))</f>
        <v>1</v>
      </c>
      <c r="X77" s="385" t="n">
        <f aca="false">IF(20&lt;5,0,IF(MAX(S37:X37)&gt;=$B$22,1,0))</f>
        <v>1</v>
      </c>
      <c r="Y77" s="385" t="n">
        <f aca="false">IF(21&lt;5,0,IF(MAX(T37:Y37)&gt;=$B$22,1,0))</f>
        <v>0</v>
      </c>
      <c r="Z77" s="385" t="n">
        <f aca="false">IF(22&lt;5,0,IF(MAX(U37:Z37)&gt;=$B$22,1,0))</f>
        <v>0</v>
      </c>
      <c r="AA77" s="385" t="n">
        <f aca="false">IF(23&lt;5,0,IF(MAX(V37:AA37)&gt;=$B$22,1,0))</f>
        <v>0</v>
      </c>
      <c r="AB77" s="385" t="n">
        <f aca="false">IF(24&lt;5,0,IF(MAX(W37:AB37)&gt;=$B$22,1,0))</f>
        <v>0</v>
      </c>
      <c r="AC77" s="385" t="n">
        <f aca="false">IF(25&lt;5,0,IF(MAX(X37:AC37)&gt;=$B$22,1,0))</f>
        <v>0</v>
      </c>
      <c r="AD77" s="385" t="n">
        <f aca="false">IF(26&lt;5,0,IF(MAX(Y37:AD37)&gt;=$B$22,1,0))</f>
        <v>0</v>
      </c>
      <c r="AE77" s="385" t="n">
        <f aca="false">IF(27&lt;5,0,IF(MAX(Z37:AE37)&gt;=$B$22,1,0))</f>
        <v>0</v>
      </c>
      <c r="AF77" s="385" t="n">
        <f aca="false">IF(28&lt;5,0,IF(MAX(AA37:AF37)&gt;=$B$22,1,0))</f>
        <v>0</v>
      </c>
      <c r="AG77" s="385" t="n">
        <f aca="false">IF(29&lt;5,0,IF(MAX(AB37:AG37)&gt;=$B$22,1,0))</f>
        <v>0</v>
      </c>
      <c r="AH77" s="385" t="n">
        <f aca="false">IF(30&lt;5,0,IF(MAX(AC37:AH37)&gt;=$B$22,1,0))</f>
        <v>0</v>
      </c>
      <c r="AI77" s="385" t="n">
        <f aca="false">IF(31&lt;5,0,IF(MAX(AD37:AI37)&gt;=$B$22,1,0))</f>
        <v>0</v>
      </c>
      <c r="AJ77" s="385" t="n">
        <f aca="false">IF(32&lt;5,0,IF(MAX(AE37:AJ37)&gt;=$B$22,1,0))</f>
        <v>0</v>
      </c>
      <c r="AK77" s="385" t="n">
        <f aca="false">IF(33&lt;5,0,IF(MAX(AF37:AK37)&gt;=$B$22,1,0))</f>
        <v>0</v>
      </c>
      <c r="AL77" s="385" t="n">
        <f aca="false">IF(34&lt;5,0,IF(MAX(AG37:AL37)&gt;=$B$22,1,0))</f>
        <v>0</v>
      </c>
      <c r="AM77" s="385" t="n">
        <f aca="false">IF(35&lt;5,0,IF(MAX(AH37:AM37)&gt;=$B$22,1,0))</f>
        <v>0</v>
      </c>
      <c r="AN77" s="385" t="n">
        <f aca="false">IF(36&lt;5,0,IF(MAX(AI37:AN37)&gt;=$B$22,1,0))</f>
        <v>0</v>
      </c>
      <c r="AO77" s="385" t="n">
        <f aca="false">IF(37&lt;5,0,IF(MAX(AJ37:AO37)&gt;=$B$22,1,0))</f>
        <v>0</v>
      </c>
      <c r="AP77" s="385" t="n">
        <f aca="false">IF(38&lt;5,0,IF(MAX(AK37:AP37)&gt;=$B$22,1,0))</f>
        <v>0</v>
      </c>
      <c r="AQ77" s="385" t="n">
        <f aca="false">IF(39&lt;5,0,IF(MAX(AL37:AQ37)&gt;=$B$22,1,0))</f>
        <v>0</v>
      </c>
      <c r="AR77" s="385" t="n">
        <f aca="false">IF(40&lt;5,0,IF(MAX(AM37:AR37)&gt;=$B$22,1,0))</f>
        <v>0</v>
      </c>
      <c r="AS77" s="385" t="n">
        <f aca="false">IF(41&lt;5,0,IF(MAX(AN37:AS37)&gt;=$B$22,1,0))</f>
        <v>0</v>
      </c>
      <c r="AT77" s="385" t="n">
        <f aca="false">IF(42&lt;5,0,IF(MAX(AO37:AT37)&gt;=$B$22,1,0))</f>
        <v>0</v>
      </c>
      <c r="AU77" s="385" t="n">
        <f aca="false">IF(43&lt;5,0,IF(MAX(AP37:AU37)&gt;=$B$22,1,0))</f>
        <v>0</v>
      </c>
      <c r="AV77" s="385" t="n">
        <f aca="false">IF(44&lt;5,0,IF(MAX(AQ37:AV37)&gt;=$B$22,1,0))</f>
        <v>0</v>
      </c>
      <c r="AW77" s="385" t="n">
        <f aca="false">IF(45&lt;5,0,IF(MAX(AR37:AW37)&gt;=$B$22,1,0))</f>
        <v>0</v>
      </c>
      <c r="AX77" s="385" t="n">
        <f aca="false">IF(46&lt;5,0,IF(MAX(AS37:AX37)&gt;=$B$22,1,0))</f>
        <v>0</v>
      </c>
      <c r="AY77" s="385" t="n">
        <f aca="false">IF(47&lt;5,0,IF(MAX(AT37:AY37)&gt;=$B$22,1,0))</f>
        <v>0</v>
      </c>
      <c r="AZ77" s="385" t="n">
        <f aca="false">IF(48&lt;5,0,IF(MAX(AU37:AZ37)&gt;=$B$22,1,0))</f>
        <v>0</v>
      </c>
      <c r="BA77" s="385" t="n">
        <f aca="false">IF(49&lt;5,0,IF(MAX(AV37:BA37)&gt;=$B$22,1,0))</f>
        <v>0</v>
      </c>
      <c r="BB77" s="385" t="n">
        <f aca="false">IF(50&lt;5,0,IF(MAX(AW37:BB37)&gt;=$B$22,1,0))</f>
        <v>0</v>
      </c>
      <c r="BC77" s="385" t="n">
        <f aca="false">IF(51&lt;5,0,IF(MAX(AX37:BC37)&gt;=$B$22,1,0))</f>
        <v>0</v>
      </c>
      <c r="BD77" s="385" t="n">
        <f aca="false">IF(52&lt;5,0,IF(MAX(AY37:BD37)&gt;=$B$22,1,0))</f>
        <v>0</v>
      </c>
      <c r="BE77" s="385" t="n">
        <f aca="false">IF(53&lt;5,0,IF(MAX(AZ37:BE37)&gt;=$B$22,1,0))</f>
        <v>0</v>
      </c>
      <c r="BF77" s="385" t="n">
        <f aca="false">IF(54&lt;5,0,IF(MAX(BA37:BF37)&gt;=$B$22,1,0))</f>
        <v>0</v>
      </c>
      <c r="BG77" s="385" t="n">
        <f aca="false">IF(55&lt;5,0,IF(MAX(BB37:BG37)&gt;=$B$22,1,0))</f>
        <v>0</v>
      </c>
      <c r="BH77" s="385" t="n">
        <f aca="false">IF(56&lt;5,0,IF(MAX(BC37:BH37)&gt;=$B$22,1,0))</f>
        <v>0</v>
      </c>
      <c r="BI77" s="385" t="n">
        <f aca="false">IF(57&lt;5,0,IF(MAX(BD37:BI37)&gt;=$B$22,1,0))</f>
        <v>0</v>
      </c>
      <c r="BJ77" s="385" t="n">
        <f aca="false">IF(58&lt;5,0,IF(MAX(BE37:BJ37)&gt;=$B$22,1,0))</f>
        <v>0</v>
      </c>
      <c r="BK77" s="385" t="n">
        <f aca="false">IF(59&lt;5,0,IF(MAX(BF37:BK37)&gt;=$B$22,1,0))</f>
        <v>0</v>
      </c>
      <c r="BL77" s="385" t="n">
        <f aca="false">IF(60&lt;5,0,IF(MAX(BG37:BL37)&gt;=$B$22,1,0))</f>
        <v>0</v>
      </c>
      <c r="BM77" s="385" t="n">
        <f aca="false">IF(61&lt;5,0,IF(MAX(BH37:BM37)&gt;=$B$22,1,0))</f>
        <v>0</v>
      </c>
      <c r="BN77" s="385" t="n">
        <f aca="false">IF(62&lt;5,0,IF(MAX(BI37:BN37)&gt;=$B$22,1,0))</f>
        <v>0</v>
      </c>
      <c r="BO77" s="385" t="n">
        <f aca="false">IF(63&lt;5,0,IF(MAX(BJ37:BO37)&gt;=$B$22,1,0))</f>
        <v>0</v>
      </c>
      <c r="BP77" s="385" t="n">
        <f aca="false">IF(64&lt;5,0,IF(MAX(BK37:BP37)&gt;=$B$22,1,0))</f>
        <v>0</v>
      </c>
      <c r="BQ77" s="385" t="n">
        <f aca="false">IF(65&lt;5,0,IF(MAX(BL37:BQ37)&gt;=$B$22,1,0))</f>
        <v>0</v>
      </c>
      <c r="BR77" s="385" t="n">
        <f aca="false">IF(66&lt;5,0,IF(MAX(BM37:BR37)&gt;=$B$22,1,0))</f>
        <v>0</v>
      </c>
      <c r="BS77" s="385" t="n">
        <f aca="false">IF(67&lt;5,0,IF(MAX(BN37:BS37)&gt;=$B$22,1,0))</f>
        <v>0</v>
      </c>
      <c r="BT77" s="385" t="n">
        <f aca="false">IF(68&lt;5,0,IF(MAX(BO37:BT37)&gt;=$B$22,1,0))</f>
        <v>0</v>
      </c>
      <c r="BU77" s="385" t="n">
        <f aca="false">IF(69&lt;5,0,IF(MAX(BP37:BU37)&gt;=$B$22,1,0))</f>
        <v>0</v>
      </c>
      <c r="BV77" s="385" t="n">
        <f aca="false">IF(70&lt;5,0,IF(MAX(BQ37:BV37)&gt;=$B$22,1,0))</f>
        <v>0</v>
      </c>
      <c r="BW77" s="385" t="n">
        <f aca="false">IF(71&lt;5,0,IF(MAX(BR37:BW37)&gt;=$B$22,1,0))</f>
        <v>0</v>
      </c>
      <c r="BX77" s="385" t="n">
        <f aca="false">IF(72&lt;5,0,IF(MAX(BS37:BX37)&gt;=$B$22,1,0))</f>
        <v>0</v>
      </c>
      <c r="BY77" s="385" t="n">
        <f aca="false">IF(73&lt;5,0,IF(MAX(BT37:BY37)&gt;=$B$22,1,0))</f>
        <v>0</v>
      </c>
      <c r="BZ77" s="385" t="n">
        <f aca="false">IF(74&lt;5,0,IF(MAX(BU37:BZ37)&gt;=$B$22,1,0))</f>
        <v>0</v>
      </c>
      <c r="CA77" s="385" t="n">
        <f aca="false">IF(75&lt;5,0,IF(MAX(BV37:CA37)&gt;=$B$22,1,0))</f>
        <v>0</v>
      </c>
      <c r="CB77" s="385" t="n">
        <f aca="false">IF(76&lt;5,0,IF(MAX(BW37:CB37)&gt;=$B$22,1,0))</f>
        <v>0</v>
      </c>
      <c r="CC77" s="385" t="n">
        <f aca="false">IF(77&lt;5,0,IF(MAX(BX37:CC37)&gt;=$B$22,1,0))</f>
        <v>0</v>
      </c>
      <c r="CD77" s="385" t="n">
        <f aca="false">IF(78&lt;5,0,IF(MAX(BY37:CD37)&gt;=$B$22,1,0))</f>
        <v>0</v>
      </c>
      <c r="CE77" s="385" t="n">
        <f aca="false">IF(79&lt;5,0,IF(MAX(BZ37:CE37)&gt;=$B$22,1,0))</f>
        <v>0</v>
      </c>
      <c r="CF77" s="385" t="n">
        <f aca="false">IF(80&lt;5,0,IF(MAX(CA37:CF37)&gt;=$B$22,1,0))</f>
        <v>0</v>
      </c>
      <c r="CG77" s="385" t="n">
        <f aca="false">IF(81&lt;5,0,IF(MAX(CB37:CG37)&gt;=$B$22,1,0))</f>
        <v>0</v>
      </c>
      <c r="CH77" s="385" t="n">
        <f aca="false">IF(82&lt;5,0,IF(MAX(CC37:CH37)&gt;=$B$22,1,0))</f>
        <v>0</v>
      </c>
      <c r="CI77" s="385" t="n">
        <f aca="false">IF(83&lt;5,0,IF(MAX(CD37:CI37)&gt;=$B$22,1,0))</f>
        <v>0</v>
      </c>
      <c r="CJ77" s="385" t="n">
        <f aca="false">IF(84&lt;5,0,IF(MAX(CE37:CJ37)&gt;=$B$22,1,0))</f>
        <v>0</v>
      </c>
      <c r="CK77" s="385" t="n">
        <f aca="false">IF(85&lt;5,0,IF(MAX(CF37:CK37)&gt;=$B$22,1,0))</f>
        <v>0</v>
      </c>
      <c r="CL77" s="385" t="n">
        <f aca="false">IF(86&lt;5,0,IF(MAX(CG37:CL37)&gt;=$B$22,1,0))</f>
        <v>0</v>
      </c>
      <c r="CM77" s="385" t="n">
        <f aca="false">IF(87&lt;5,0,IF(MAX(CH37:CM37)&gt;=$B$22,1,0))</f>
        <v>0</v>
      </c>
      <c r="CN77" s="385" t="n">
        <f aca="false">IF(88&lt;5,0,IF(MAX(CI37:CN37)&gt;=$B$22,1,0))</f>
        <v>0</v>
      </c>
      <c r="CO77" s="385" t="n">
        <f aca="false">IF(89&lt;5,0,IF(MAX(CJ37:CO37)&gt;=$B$22,1,0))</f>
        <v>0</v>
      </c>
      <c r="CP77" s="385" t="n">
        <f aca="false">IF(90&lt;5,0,IF(MAX(CK37:CP37)&gt;=$B$22,1,0))</f>
        <v>0</v>
      </c>
      <c r="CQ77" s="385" t="n">
        <f aca="false">IF(91&lt;5,0,IF(MAX(CL37:CQ37)&gt;=$B$22,1,0))</f>
        <v>0</v>
      </c>
      <c r="CR77" s="385" t="n">
        <f aca="false">IF(92&lt;5,0,IF(MAX(CM37:CR37)&gt;=$B$22,1,0))</f>
        <v>0</v>
      </c>
      <c r="CS77" s="385" t="n">
        <f aca="false">IF(93&lt;5,0,IF(MAX(CN37:CS37)&gt;=$B$22,1,0))</f>
        <v>0</v>
      </c>
      <c r="CT77" s="385" t="n">
        <f aca="false">IF(94&lt;5,0,IF(MAX(CO37:CT37)&gt;=$B$22,1,0))</f>
        <v>0</v>
      </c>
      <c r="CU77" s="385" t="n">
        <f aca="false">IF(95&lt;5,0,IF(MAX(CP37:CU37)&gt;=$B$22,1,0))</f>
        <v>0</v>
      </c>
      <c r="CV77" s="385" t="n">
        <f aca="false">IF(96&lt;5,0,IF(MAX(CQ37:CV37)&gt;=$B$22,1,0))</f>
        <v>0</v>
      </c>
      <c r="CW77" s="385" t="n">
        <f aca="false">IF(97&lt;5,0,IF(MAX(CR37:CW37)&gt;=$B$22,1,0))</f>
        <v>0</v>
      </c>
      <c r="CX77" s="385" t="n">
        <f aca="false">IF(98&lt;5,0,IF(MAX(CS37:CX37)&gt;=$B$22,1,0))</f>
        <v>0</v>
      </c>
      <c r="CY77" s="385" t="n">
        <f aca="false">IF(99&lt;5,0,IF(MAX(CT37:CY37)&gt;=$B$22,1,0))</f>
        <v>0</v>
      </c>
      <c r="CZ77" s="385" t="n">
        <f aca="false">IF(100&lt;5,0,IF(MAX(CU37:CZ37)&gt;=$B$22,1,0))</f>
        <v>0</v>
      </c>
      <c r="DA77" s="385" t="n">
        <f aca="false">IF(101&lt;5,0,IF(MAX(CV37:DA37)&gt;=$B$22,1,0))</f>
        <v>0</v>
      </c>
      <c r="DB77" s="385" t="n">
        <f aca="false">IF(102&lt;5,0,IF(MAX(CW37:DB37)&gt;=$B$22,1,0))</f>
        <v>0</v>
      </c>
      <c r="DC77" s="385" t="n">
        <f aca="false">IF(103&lt;5,0,IF(MAX(CX37:DC37)&gt;=$B$22,1,0))</f>
        <v>0</v>
      </c>
      <c r="DD77" s="385" t="n">
        <f aca="false">IF(104&lt;5,0,IF(MAX(CY37:DD37)&gt;=$B$22,1,0))</f>
        <v>0</v>
      </c>
      <c r="DE77" s="385" t="n">
        <f aca="false">IF(105&lt;5,0,IF(MAX(CZ37:DE37)&gt;=$B$22,1,0))</f>
        <v>0</v>
      </c>
    </row>
    <row r="78" customFormat="false" ht="13.5" hidden="false" customHeight="true" outlineLevel="0" collapsed="false">
      <c r="A78" s="110" t="s">
        <v>1408</v>
      </c>
      <c r="B78" s="213" t="n">
        <f aca="false">$B$30</f>
        <v>80000</v>
      </c>
      <c r="E78" s="385" t="n">
        <f aca="false">IF(1&lt;5,0,IF(MAX(E37)&gt;=$B$23,1,0))</f>
        <v>0</v>
      </c>
      <c r="F78" s="385" t="n">
        <f aca="false">IF(2&lt;5,0,IF(MAX(E37:F37)&gt;=$B$23,1,0))</f>
        <v>0</v>
      </c>
      <c r="G78" s="385" t="n">
        <f aca="false">IF(3&lt;5,0,IF(MAX(E37:G37)&gt;=$B$23,1,0))</f>
        <v>0</v>
      </c>
      <c r="H78" s="385" t="n">
        <f aca="false">IF(4&lt;5,0,IF(MAX(E37:H37)&gt;=$B$23,1,0))</f>
        <v>0</v>
      </c>
      <c r="I78" s="385" t="n">
        <f aca="false">IF(5&lt;5,0,IF(MAX(E37:I37)&gt;=$B$23,1,0))</f>
        <v>0</v>
      </c>
      <c r="J78" s="385" t="n">
        <f aca="false">IF(6&lt;5,0,IF(MAX(E37:J37)&gt;=$B$23,1,0))</f>
        <v>0</v>
      </c>
      <c r="K78" s="385" t="n">
        <f aca="false">IF(7&lt;5,0,IF(MAX(F37:K37)&gt;=$B$23,1,0))</f>
        <v>0</v>
      </c>
      <c r="L78" s="385" t="n">
        <f aca="false">IF(8&lt;5,0,IF(MAX(G37:L37)&gt;=$B$23,1,0))</f>
        <v>0</v>
      </c>
      <c r="M78" s="385" t="n">
        <f aca="false">IF(9&lt;5,0,IF(MAX(H37:M37)&gt;=$B$23,1,0))</f>
        <v>0</v>
      </c>
      <c r="N78" s="385" t="n">
        <f aca="false">IF(10&lt;5,0,IF(MAX(I37:N37)&gt;=$B$23,1,0))</f>
        <v>0</v>
      </c>
      <c r="O78" s="385" t="n">
        <f aca="false">IF(11&lt;5,0,IF(MAX(J37:O37)&gt;=$B$23,1,0))</f>
        <v>0</v>
      </c>
      <c r="P78" s="385" t="n">
        <f aca="false">IF(12&lt;5,0,IF(MAX(K37:P37)&gt;=$B$23,1,0))</f>
        <v>0</v>
      </c>
      <c r="Q78" s="385" t="n">
        <f aca="false">IF(13&lt;5,0,IF(MAX(L37:Q37)&gt;=$B$23,1,0))</f>
        <v>0</v>
      </c>
      <c r="R78" s="385" t="n">
        <f aca="false">IF(14&lt;5,0,IF(MAX(M37:R37)&gt;=$B$23,1,0))</f>
        <v>0</v>
      </c>
      <c r="S78" s="385" t="n">
        <f aca="false">IF(15&lt;5,0,IF(MAX(N37:S37)&gt;=$B$23,1,0))</f>
        <v>0</v>
      </c>
      <c r="T78" s="385" t="n">
        <f aca="false">IF(16&lt;5,0,IF(MAX(O37:T37)&gt;=$B$23,1,0))</f>
        <v>0</v>
      </c>
      <c r="U78" s="385" t="n">
        <f aca="false">IF(17&lt;5,0,IF(MAX(P37:U37)&gt;=$B$23,1,0))</f>
        <v>0</v>
      </c>
      <c r="V78" s="385" t="n">
        <f aca="false">IF(18&lt;5,0,IF(MAX(Q37:V37)&gt;=$B$23,1,0))</f>
        <v>0</v>
      </c>
      <c r="W78" s="385" t="n">
        <f aca="false">IF(19&lt;5,0,IF(MAX(R37:W37)&gt;=$B$23,1,0))</f>
        <v>0</v>
      </c>
      <c r="X78" s="385" t="n">
        <f aca="false">IF(20&lt;5,0,IF(MAX(S37:X37)&gt;=$B$23,1,0))</f>
        <v>0</v>
      </c>
      <c r="Y78" s="385" t="n">
        <f aca="false">IF(21&lt;5,0,IF(MAX(T37:Y37)&gt;=$B$23,1,0))</f>
        <v>0</v>
      </c>
      <c r="Z78" s="385" t="n">
        <f aca="false">IF(22&lt;5,0,IF(MAX(U37:Z37)&gt;=$B$23,1,0))</f>
        <v>0</v>
      </c>
      <c r="AA78" s="385" t="n">
        <f aca="false">IF(23&lt;5,0,IF(MAX(V37:AA37)&gt;=$B$23,1,0))</f>
        <v>0</v>
      </c>
      <c r="AB78" s="385" t="n">
        <f aca="false">IF(24&lt;5,0,IF(MAX(W37:AB37)&gt;=$B$23,1,0))</f>
        <v>0</v>
      </c>
      <c r="AC78" s="385" t="n">
        <f aca="false">IF(25&lt;5,0,IF(MAX(X37:AC37)&gt;=$B$23,1,0))</f>
        <v>0</v>
      </c>
      <c r="AD78" s="385" t="n">
        <f aca="false">IF(26&lt;5,0,IF(MAX(Y37:AD37)&gt;=$B$23,1,0))</f>
        <v>0</v>
      </c>
      <c r="AE78" s="385" t="n">
        <f aca="false">IF(27&lt;5,0,IF(MAX(Z37:AE37)&gt;=$B$23,1,0))</f>
        <v>0</v>
      </c>
      <c r="AF78" s="385" t="n">
        <f aca="false">IF(28&lt;5,0,IF(MAX(AA37:AF37)&gt;=$B$23,1,0))</f>
        <v>0</v>
      </c>
      <c r="AG78" s="385" t="n">
        <f aca="false">IF(29&lt;5,0,IF(MAX(AB37:AG37)&gt;=$B$23,1,0))</f>
        <v>0</v>
      </c>
      <c r="AH78" s="385" t="n">
        <f aca="false">IF(30&lt;5,0,IF(MAX(AC37:AH37)&gt;=$B$23,1,0))</f>
        <v>0</v>
      </c>
      <c r="AI78" s="385" t="n">
        <f aca="false">IF(31&lt;5,0,IF(MAX(AD37:AI37)&gt;=$B$23,1,0))</f>
        <v>0</v>
      </c>
      <c r="AJ78" s="385" t="n">
        <f aca="false">IF(32&lt;5,0,IF(MAX(AE37:AJ37)&gt;=$B$23,1,0))</f>
        <v>0</v>
      </c>
      <c r="AK78" s="385" t="n">
        <f aca="false">IF(33&lt;5,0,IF(MAX(AF37:AK37)&gt;=$B$23,1,0))</f>
        <v>0</v>
      </c>
      <c r="AL78" s="385" t="n">
        <f aca="false">IF(34&lt;5,0,IF(MAX(AG37:AL37)&gt;=$B$23,1,0))</f>
        <v>0</v>
      </c>
      <c r="AM78" s="385" t="n">
        <f aca="false">IF(35&lt;5,0,IF(MAX(AH37:AM37)&gt;=$B$23,1,0))</f>
        <v>0</v>
      </c>
      <c r="AN78" s="385" t="n">
        <f aca="false">IF(36&lt;5,0,IF(MAX(AI37:AN37)&gt;=$B$23,1,0))</f>
        <v>0</v>
      </c>
      <c r="AO78" s="385" t="n">
        <f aca="false">IF(37&lt;5,0,IF(MAX(AJ37:AO37)&gt;=$B$23,1,0))</f>
        <v>0</v>
      </c>
      <c r="AP78" s="385" t="n">
        <f aca="false">IF(38&lt;5,0,IF(MAX(AK37:AP37)&gt;=$B$23,1,0))</f>
        <v>0</v>
      </c>
      <c r="AQ78" s="385" t="n">
        <f aca="false">IF(39&lt;5,0,IF(MAX(AL37:AQ37)&gt;=$B$23,1,0))</f>
        <v>0</v>
      </c>
      <c r="AR78" s="385" t="n">
        <f aca="false">IF(40&lt;5,0,IF(MAX(AM37:AR37)&gt;=$B$23,1,0))</f>
        <v>0</v>
      </c>
      <c r="AS78" s="385" t="n">
        <f aca="false">IF(41&lt;5,0,IF(MAX(AN37:AS37)&gt;=$B$23,1,0))</f>
        <v>0</v>
      </c>
      <c r="AT78" s="385" t="n">
        <f aca="false">IF(42&lt;5,0,IF(MAX(AO37:AT37)&gt;=$B$23,1,0))</f>
        <v>0</v>
      </c>
      <c r="AU78" s="385" t="n">
        <f aca="false">IF(43&lt;5,0,IF(MAX(AP37:AU37)&gt;=$B$23,1,0))</f>
        <v>0</v>
      </c>
      <c r="AV78" s="385" t="n">
        <f aca="false">IF(44&lt;5,0,IF(MAX(AQ37:AV37)&gt;=$B$23,1,0))</f>
        <v>0</v>
      </c>
      <c r="AW78" s="385" t="n">
        <f aca="false">IF(45&lt;5,0,IF(MAX(AR37:AW37)&gt;=$B$23,1,0))</f>
        <v>0</v>
      </c>
      <c r="AX78" s="385" t="n">
        <f aca="false">IF(46&lt;5,0,IF(MAX(AS37:AX37)&gt;=$B$23,1,0))</f>
        <v>0</v>
      </c>
      <c r="AY78" s="385" t="n">
        <f aca="false">IF(47&lt;5,0,IF(MAX(AT37:AY37)&gt;=$B$23,1,0))</f>
        <v>0</v>
      </c>
      <c r="AZ78" s="385" t="n">
        <f aca="false">IF(48&lt;5,0,IF(MAX(AU37:AZ37)&gt;=$B$23,1,0))</f>
        <v>0</v>
      </c>
      <c r="BA78" s="385" t="n">
        <f aca="false">IF(49&lt;5,0,IF(MAX(AV37:BA37)&gt;=$B$23,1,0))</f>
        <v>0</v>
      </c>
      <c r="BB78" s="385" t="n">
        <f aca="false">IF(50&lt;5,0,IF(MAX(AW37:BB37)&gt;=$B$23,1,0))</f>
        <v>0</v>
      </c>
      <c r="BC78" s="385" t="n">
        <f aca="false">IF(51&lt;5,0,IF(MAX(AX37:BC37)&gt;=$B$23,1,0))</f>
        <v>0</v>
      </c>
      <c r="BD78" s="385" t="n">
        <f aca="false">IF(52&lt;5,0,IF(MAX(AY37:BD37)&gt;=$B$23,1,0))</f>
        <v>0</v>
      </c>
      <c r="BE78" s="385" t="n">
        <f aca="false">IF(53&lt;5,0,IF(MAX(AZ37:BE37)&gt;=$B$23,1,0))</f>
        <v>0</v>
      </c>
      <c r="BF78" s="385" t="n">
        <f aca="false">IF(54&lt;5,0,IF(MAX(BA37:BF37)&gt;=$B$23,1,0))</f>
        <v>0</v>
      </c>
      <c r="BG78" s="385" t="n">
        <f aca="false">IF(55&lt;5,0,IF(MAX(BB37:BG37)&gt;=$B$23,1,0))</f>
        <v>0</v>
      </c>
      <c r="BH78" s="385" t="n">
        <f aca="false">IF(56&lt;5,0,IF(MAX(BC37:BH37)&gt;=$B$23,1,0))</f>
        <v>0</v>
      </c>
      <c r="BI78" s="385" t="n">
        <f aca="false">IF(57&lt;5,0,IF(MAX(BD37:BI37)&gt;=$B$23,1,0))</f>
        <v>0</v>
      </c>
      <c r="BJ78" s="385" t="n">
        <f aca="false">IF(58&lt;5,0,IF(MAX(BE37:BJ37)&gt;=$B$23,1,0))</f>
        <v>0</v>
      </c>
      <c r="BK78" s="385" t="n">
        <f aca="false">IF(59&lt;5,0,IF(MAX(BF37:BK37)&gt;=$B$23,1,0))</f>
        <v>0</v>
      </c>
      <c r="BL78" s="385" t="n">
        <f aca="false">IF(60&lt;5,0,IF(MAX(BG37:BL37)&gt;=$B$23,1,0))</f>
        <v>0</v>
      </c>
      <c r="BM78" s="385" t="n">
        <f aca="false">IF(61&lt;5,0,IF(MAX(BH37:BM37)&gt;=$B$23,1,0))</f>
        <v>0</v>
      </c>
      <c r="BN78" s="385" t="n">
        <f aca="false">IF(62&lt;5,0,IF(MAX(BI37:BN37)&gt;=$B$23,1,0))</f>
        <v>0</v>
      </c>
      <c r="BO78" s="385" t="n">
        <f aca="false">IF(63&lt;5,0,IF(MAX(BJ37:BO37)&gt;=$B$23,1,0))</f>
        <v>0</v>
      </c>
      <c r="BP78" s="385" t="n">
        <f aca="false">IF(64&lt;5,0,IF(MAX(BK37:BP37)&gt;=$B$23,1,0))</f>
        <v>0</v>
      </c>
      <c r="BQ78" s="385" t="n">
        <f aca="false">IF(65&lt;5,0,IF(MAX(BL37:BQ37)&gt;=$B$23,1,0))</f>
        <v>0</v>
      </c>
      <c r="BR78" s="385" t="n">
        <f aca="false">IF(66&lt;5,0,IF(MAX(BM37:BR37)&gt;=$B$23,1,0))</f>
        <v>0</v>
      </c>
      <c r="BS78" s="385" t="n">
        <f aca="false">IF(67&lt;5,0,IF(MAX(BN37:BS37)&gt;=$B$23,1,0))</f>
        <v>0</v>
      </c>
      <c r="BT78" s="385" t="n">
        <f aca="false">IF(68&lt;5,0,IF(MAX(BO37:BT37)&gt;=$B$23,1,0))</f>
        <v>0</v>
      </c>
      <c r="BU78" s="385" t="n">
        <f aca="false">IF(69&lt;5,0,IF(MAX(BP37:BU37)&gt;=$B$23,1,0))</f>
        <v>0</v>
      </c>
      <c r="BV78" s="385" t="n">
        <f aca="false">IF(70&lt;5,0,IF(MAX(BQ37:BV37)&gt;=$B$23,1,0))</f>
        <v>0</v>
      </c>
      <c r="BW78" s="385" t="n">
        <f aca="false">IF(71&lt;5,0,IF(MAX(BR37:BW37)&gt;=$B$23,1,0))</f>
        <v>0</v>
      </c>
      <c r="BX78" s="385" t="n">
        <f aca="false">IF(72&lt;5,0,IF(MAX(BS37:BX37)&gt;=$B$23,1,0))</f>
        <v>0</v>
      </c>
      <c r="BY78" s="385" t="n">
        <f aca="false">IF(73&lt;5,0,IF(MAX(BT37:BY37)&gt;=$B$23,1,0))</f>
        <v>0</v>
      </c>
      <c r="BZ78" s="385" t="n">
        <f aca="false">IF(74&lt;5,0,IF(MAX(BU37:BZ37)&gt;=$B$23,1,0))</f>
        <v>0</v>
      </c>
      <c r="CA78" s="385" t="n">
        <f aca="false">IF(75&lt;5,0,IF(MAX(BV37:CA37)&gt;=$B$23,1,0))</f>
        <v>0</v>
      </c>
      <c r="CB78" s="385" t="n">
        <f aca="false">IF(76&lt;5,0,IF(MAX(BW37:CB37)&gt;=$B$23,1,0))</f>
        <v>0</v>
      </c>
      <c r="CC78" s="385" t="n">
        <f aca="false">IF(77&lt;5,0,IF(MAX(BX37:CC37)&gt;=$B$23,1,0))</f>
        <v>0</v>
      </c>
      <c r="CD78" s="385" t="n">
        <f aca="false">IF(78&lt;5,0,IF(MAX(BY37:CD37)&gt;=$B$23,1,0))</f>
        <v>0</v>
      </c>
      <c r="CE78" s="385" t="n">
        <f aca="false">IF(79&lt;5,0,IF(MAX(BZ37:CE37)&gt;=$B$23,1,0))</f>
        <v>0</v>
      </c>
      <c r="CF78" s="385" t="n">
        <f aca="false">IF(80&lt;5,0,IF(MAX(CA37:CF37)&gt;=$B$23,1,0))</f>
        <v>0</v>
      </c>
      <c r="CG78" s="385" t="n">
        <f aca="false">IF(81&lt;5,0,IF(MAX(CB37:CG37)&gt;=$B$23,1,0))</f>
        <v>0</v>
      </c>
      <c r="CH78" s="385" t="n">
        <f aca="false">IF(82&lt;5,0,IF(MAX(CC37:CH37)&gt;=$B$23,1,0))</f>
        <v>0</v>
      </c>
      <c r="CI78" s="385" t="n">
        <f aca="false">IF(83&lt;5,0,IF(MAX(CD37:CI37)&gt;=$B$23,1,0))</f>
        <v>0</v>
      </c>
      <c r="CJ78" s="385" t="n">
        <f aca="false">IF(84&lt;5,0,IF(MAX(CE37:CJ37)&gt;=$B$23,1,0))</f>
        <v>0</v>
      </c>
      <c r="CK78" s="385" t="n">
        <f aca="false">IF(85&lt;5,0,IF(MAX(CF37:CK37)&gt;=$B$23,1,0))</f>
        <v>0</v>
      </c>
      <c r="CL78" s="385" t="n">
        <f aca="false">IF(86&lt;5,0,IF(MAX(CG37:CL37)&gt;=$B$23,1,0))</f>
        <v>0</v>
      </c>
      <c r="CM78" s="385" t="n">
        <f aca="false">IF(87&lt;5,0,IF(MAX(CH37:CM37)&gt;=$B$23,1,0))</f>
        <v>0</v>
      </c>
      <c r="CN78" s="385" t="n">
        <f aca="false">IF(88&lt;5,0,IF(MAX(CI37:CN37)&gt;=$B$23,1,0))</f>
        <v>0</v>
      </c>
      <c r="CO78" s="385" t="n">
        <f aca="false">IF(89&lt;5,0,IF(MAX(CJ37:CO37)&gt;=$B$23,1,0))</f>
        <v>0</v>
      </c>
      <c r="CP78" s="385" t="n">
        <f aca="false">IF(90&lt;5,0,IF(MAX(CK37:CP37)&gt;=$B$23,1,0))</f>
        <v>0</v>
      </c>
      <c r="CQ78" s="385" t="n">
        <f aca="false">IF(91&lt;5,0,IF(MAX(CL37:CQ37)&gt;=$B$23,1,0))</f>
        <v>0</v>
      </c>
      <c r="CR78" s="385" t="n">
        <f aca="false">IF(92&lt;5,0,IF(MAX(CM37:CR37)&gt;=$B$23,1,0))</f>
        <v>0</v>
      </c>
      <c r="CS78" s="385" t="n">
        <f aca="false">IF(93&lt;5,0,IF(MAX(CN37:CS37)&gt;=$B$23,1,0))</f>
        <v>0</v>
      </c>
      <c r="CT78" s="385" t="n">
        <f aca="false">IF(94&lt;5,0,IF(MAX(CO37:CT37)&gt;=$B$23,1,0))</f>
        <v>0</v>
      </c>
      <c r="CU78" s="385" t="n">
        <f aca="false">IF(95&lt;5,0,IF(MAX(CP37:CU37)&gt;=$B$23,1,0))</f>
        <v>0</v>
      </c>
      <c r="CV78" s="385" t="n">
        <f aca="false">IF(96&lt;5,0,IF(MAX(CQ37:CV37)&gt;=$B$23,1,0))</f>
        <v>0</v>
      </c>
      <c r="CW78" s="385" t="n">
        <f aca="false">IF(97&lt;5,0,IF(MAX(CR37:CW37)&gt;=$B$23,1,0))</f>
        <v>0</v>
      </c>
      <c r="CX78" s="385" t="n">
        <f aca="false">IF(98&lt;5,0,IF(MAX(CS37:CX37)&gt;=$B$23,1,0))</f>
        <v>0</v>
      </c>
      <c r="CY78" s="385" t="n">
        <f aca="false">IF(99&lt;5,0,IF(MAX(CT37:CY37)&gt;=$B$23,1,0))</f>
        <v>0</v>
      </c>
      <c r="CZ78" s="385" t="n">
        <f aca="false">IF(100&lt;5,0,IF(MAX(CU37:CZ37)&gt;=$B$23,1,0))</f>
        <v>0</v>
      </c>
      <c r="DA78" s="385" t="n">
        <f aca="false">IF(101&lt;5,0,IF(MAX(CV37:DA37)&gt;=$B$23,1,0))</f>
        <v>0</v>
      </c>
      <c r="DB78" s="385" t="n">
        <f aca="false">IF(102&lt;5,0,IF(MAX(CW37:DB37)&gt;=$B$23,1,0))</f>
        <v>0</v>
      </c>
      <c r="DC78" s="385" t="n">
        <f aca="false">IF(103&lt;5,0,IF(MAX(CX37:DC37)&gt;=$B$23,1,0))</f>
        <v>0</v>
      </c>
      <c r="DD78" s="385" t="n">
        <f aca="false">IF(104&lt;5,0,IF(MAX(CY37:DD37)&gt;=$B$23,1,0))</f>
        <v>0</v>
      </c>
      <c r="DE78" s="385" t="n">
        <f aca="false">IF(105&lt;5,0,IF(MAX(CZ37:DE37)&gt;=$B$23,1,0))</f>
        <v>0</v>
      </c>
    </row>
    <row r="80" customFormat="false" ht="13.5" hidden="false" customHeight="true" outlineLevel="0" collapsed="false">
      <c r="A80" s="211" t="s">
        <v>1409</v>
      </c>
      <c r="B80" s="212"/>
      <c r="C80" s="212"/>
      <c r="D80" s="212"/>
      <c r="E80" s="212"/>
      <c r="F80" s="212"/>
    </row>
    <row r="81" customFormat="false" ht="13.5" hidden="false" customHeight="true" outlineLevel="0" collapsed="false">
      <c r="A81" s="110" t="s">
        <v>1410</v>
      </c>
      <c r="E81" s="386" t="n">
        <f aca="false">(SUMPRODUCT($B$49:$B$58,E49:E58)+SUMPRODUCT($B$61:$B$68,E61:E68)+SUMPRODUCT($B$71:$B$74,E71:E74)+SUMPRODUCT($B$77:$B$78,E77:E78)+SUMPRODUCT($B$99:$B$104,E99:E104))/12</f>
        <v>0</v>
      </c>
      <c r="F81" s="386" t="n">
        <f aca="false">(SUMPRODUCT($B$49:$B$58,F49:F58)+SUMPRODUCT($B$61:$B$68,F61:F68)+SUMPRODUCT($B$71:$B$74,F71:F74)+SUMPRODUCT($B$77:$B$78,F77:F78)+SUMPRODUCT($B$99:$B$104,F99:F104))/12</f>
        <v>0</v>
      </c>
      <c r="G81" s="386" t="n">
        <f aca="false">(SUMPRODUCT($B$49:$B$58,G49:G58)+SUMPRODUCT($B$61:$B$68,G61:G68)+SUMPRODUCT($B$71:$B$74,G71:G74)+SUMPRODUCT($B$77:$B$78,G77:G78)+SUMPRODUCT($B$99:$B$104,G99:G104))/12</f>
        <v>0</v>
      </c>
      <c r="H81" s="386" t="n">
        <f aca="false">(SUMPRODUCT($B$49:$B$58,H49:H58)+SUMPRODUCT($B$61:$B$68,H61:H68)+SUMPRODUCT($B$71:$B$74,H71:H74)+SUMPRODUCT($B$77:$B$78,H77:H78)+SUMPRODUCT($B$99:$B$104,H99:H104))/12</f>
        <v>0</v>
      </c>
      <c r="I81" s="386" t="n">
        <f aca="false">(SUMPRODUCT($B$49:$B$58,I49:I58)+SUMPRODUCT($B$61:$B$68,I61:I68)+SUMPRODUCT($B$71:$B$74,I71:I74)+SUMPRODUCT($B$77:$B$78,I77:I78)+SUMPRODUCT($B$99:$B$104,I99:I104))/12</f>
        <v>10833.3333333333</v>
      </c>
      <c r="J81" s="386" t="n">
        <f aca="false">(SUMPRODUCT($B$49:$B$58,J49:J58)+SUMPRODUCT($B$61:$B$68,J61:J68)+SUMPRODUCT($B$71:$B$74,J71:J74)+SUMPRODUCT($B$77:$B$78,J77:J78)+SUMPRODUCT($B$99:$B$104,J99:J104))/12</f>
        <v>0</v>
      </c>
      <c r="K81" s="386" t="n">
        <f aca="false">(SUMPRODUCT($B$49:$B$58,K49:K58)+SUMPRODUCT($B$61:$B$68,K61:K68)+SUMPRODUCT($B$71:$B$74,K71:K74)+SUMPRODUCT($B$77:$B$78,K77:K78)+SUMPRODUCT($B$99:$B$104,K99:K104))/12</f>
        <v>0</v>
      </c>
      <c r="L81" s="386" t="n">
        <f aca="false">(SUMPRODUCT($B$49:$B$58,L49:L58)+SUMPRODUCT($B$61:$B$68,L61:L68)+SUMPRODUCT($B$71:$B$74,L71:L74)+SUMPRODUCT($B$77:$B$78,L77:L78)+SUMPRODUCT($B$99:$B$104,L99:L104))/12</f>
        <v>0</v>
      </c>
      <c r="M81" s="386" t="n">
        <f aca="false">(SUMPRODUCT($B$49:$B$58,M49:M58)+SUMPRODUCT($B$61:$B$68,M61:M68)+SUMPRODUCT($B$71:$B$74,M71:M74)+SUMPRODUCT($B$77:$B$78,M77:M78)+SUMPRODUCT($B$99:$B$104,M99:M104))/12</f>
        <v>23750</v>
      </c>
      <c r="N81" s="386" t="n">
        <f aca="false">(SUMPRODUCT($B$49:$B$58,N49:N58)+SUMPRODUCT($B$61:$B$68,N61:N68)+SUMPRODUCT($B$71:$B$74,N71:N74)+SUMPRODUCT($B$77:$B$78,N77:N78)+SUMPRODUCT($B$99:$B$104,N99:N104))/12</f>
        <v>47916.6666666667</v>
      </c>
      <c r="O81" s="386" t="n">
        <f aca="false">(SUMPRODUCT($B$49:$B$58,O49:O58)+SUMPRODUCT($B$61:$B$68,O61:O68)+SUMPRODUCT($B$71:$B$74,O71:O74)+SUMPRODUCT($B$77:$B$78,O77:O78)+SUMPRODUCT($B$99:$B$104,O99:O104))/12</f>
        <v>93333.3333333333</v>
      </c>
      <c r="P81" s="386" t="n">
        <f aca="false">(SUMPRODUCT($B$49:$B$58,P49:P58)+SUMPRODUCT($B$61:$B$68,P61:P68)+SUMPRODUCT($B$71:$B$74,P71:P74)+SUMPRODUCT($B$77:$B$78,P77:P78)+SUMPRODUCT($B$99:$B$104,P99:P104))/12</f>
        <v>93333.3333333333</v>
      </c>
      <c r="Q81" s="386" t="n">
        <f aca="false">(SUMPRODUCT($B$49:$B$58,Q49:Q58)+SUMPRODUCT($B$61:$B$68,Q61:Q68)+SUMPRODUCT($B$71:$B$74,Q71:Q74)+SUMPRODUCT($B$77:$B$78,Q77:Q78)+SUMPRODUCT($B$99:$B$104,Q99:Q104))/12</f>
        <v>93333.3333333333</v>
      </c>
      <c r="R81" s="386" t="n">
        <f aca="false">(SUMPRODUCT($B$49:$B$58,R49:R58)+SUMPRODUCT($B$61:$B$68,R61:R68)+SUMPRODUCT($B$71:$B$74,R71:R74)+SUMPRODUCT($B$77:$B$78,R77:R78)+SUMPRODUCT($B$99:$B$104,R99:R104))/12</f>
        <v>93333.3333333333</v>
      </c>
      <c r="S81" s="386" t="n">
        <f aca="false">(SUMPRODUCT($B$49:$B$58,S49:S58)+SUMPRODUCT($B$61:$B$68,S61:S68)+SUMPRODUCT($B$71:$B$74,S71:S74)+SUMPRODUCT($B$77:$B$78,S77:S78)+SUMPRODUCT($B$99:$B$104,S99:S104))/12</f>
        <v>93333.3333333333</v>
      </c>
      <c r="T81" s="386" t="n">
        <f aca="false">(SUMPRODUCT($B$49:$B$58,T49:T58)+SUMPRODUCT($B$61:$B$68,T61:T68)+SUMPRODUCT($B$71:$B$74,T71:T74)+SUMPRODUCT($B$77:$B$78,T77:T78)+SUMPRODUCT($B$99:$B$104,T99:T104))/12</f>
        <v>93333.3333333333</v>
      </c>
      <c r="U81" s="386" t="n">
        <f aca="false">(SUMPRODUCT($B$49:$B$58,U49:U58)+SUMPRODUCT($B$61:$B$68,U61:U68)+SUMPRODUCT($B$71:$B$74,U71:U74)+SUMPRODUCT($B$77:$B$78,U77:U78)+SUMPRODUCT($B$99:$B$104,U99:U104))/12</f>
        <v>93333.3333333333</v>
      </c>
      <c r="V81" s="386" t="n">
        <f aca="false">(SUMPRODUCT($B$49:$B$58,V49:V58)+SUMPRODUCT($B$61:$B$68,V61:V68)+SUMPRODUCT($B$71:$B$74,V71:V74)+SUMPRODUCT($B$77:$B$78,V77:V78)+SUMPRODUCT($B$99:$B$104,V99:V104))/12</f>
        <v>78333.3333333333</v>
      </c>
      <c r="W81" s="386" t="n">
        <f aca="false">(SUMPRODUCT($B$49:$B$58,W49:W58)+SUMPRODUCT($B$61:$B$68,W61:W68)+SUMPRODUCT($B$71:$B$74,W71:W74)+SUMPRODUCT($B$77:$B$78,W77:W78)+SUMPRODUCT($B$99:$B$104,W99:W104))/12</f>
        <v>78333.3333333333</v>
      </c>
      <c r="X81" s="386" t="n">
        <f aca="false">(SUMPRODUCT($B$49:$B$58,X49:X58)+SUMPRODUCT($B$61:$B$68,X61:X68)+SUMPRODUCT($B$71:$B$74,X71:X74)+SUMPRODUCT($B$77:$B$78,X77:X78)+SUMPRODUCT($B$99:$B$104,X99:X104))/12</f>
        <v>78333.3333333333</v>
      </c>
      <c r="Y81" s="386" t="n">
        <f aca="false">(SUMPRODUCT($B$49:$B$58,Y49:Y58)+SUMPRODUCT($B$61:$B$68,Y61:Y68)+SUMPRODUCT($B$71:$B$74,Y71:Y74)+SUMPRODUCT($B$77:$B$78,Y77:Y78)+SUMPRODUCT($B$99:$B$104,Y99:Y104))/12</f>
        <v>71666.6666666667</v>
      </c>
      <c r="Z81" s="386" t="n">
        <f aca="false">(SUMPRODUCT($B$49:$B$58,Z49:Z58)+SUMPRODUCT($B$61:$B$68,Z61:Z68)+SUMPRODUCT($B$71:$B$74,Z71:Z74)+SUMPRODUCT($B$77:$B$78,Z77:Z78)+SUMPRODUCT($B$99:$B$104,Z99:Z104))/12</f>
        <v>37083.3333333333</v>
      </c>
      <c r="AA81" s="386" t="n">
        <f aca="false">(SUMPRODUCT($B$49:$B$58,AA49:AA58)+SUMPRODUCT($B$61:$B$68,AA61:AA68)+SUMPRODUCT($B$71:$B$74,AA71:AA74)+SUMPRODUCT($B$77:$B$78,AA77:AA78)+SUMPRODUCT($B$99:$B$104,AA99:AA104))/12</f>
        <v>37083.3333333333</v>
      </c>
      <c r="AB81" s="386" t="n">
        <f aca="false">(SUMPRODUCT($B$49:$B$58,AB49:AB58)+SUMPRODUCT($B$61:$B$68,AB61:AB68)+SUMPRODUCT($B$71:$B$74,AB71:AB74)+SUMPRODUCT($B$77:$B$78,AB77:AB78)+SUMPRODUCT($B$99:$B$104,AB99:AB104))/12</f>
        <v>23750</v>
      </c>
      <c r="AC81" s="386" t="n">
        <f aca="false">(SUMPRODUCT($B$49:$B$58,AC49:AC58)+SUMPRODUCT($B$61:$B$68,AC61:AC68)+SUMPRODUCT($B$71:$B$74,AC71:AC74)+SUMPRODUCT($B$77:$B$78,AC77:AC78)+SUMPRODUCT($B$99:$B$104,AC99:AC104))/12</f>
        <v>0</v>
      </c>
      <c r="AD81" s="386" t="n">
        <f aca="false">(SUMPRODUCT($B$49:$B$58,AD49:AD58)+SUMPRODUCT($B$61:$B$68,AD61:AD68)+SUMPRODUCT($B$71:$B$74,AD71:AD74)+SUMPRODUCT($B$77:$B$78,AD77:AD78)+SUMPRODUCT($B$99:$B$104,AD99:AD104))/12</f>
        <v>0</v>
      </c>
      <c r="AE81" s="386" t="n">
        <f aca="false">(SUMPRODUCT($B$49:$B$58,AE49:AE58)+SUMPRODUCT($B$61:$B$68,AE61:AE68)+SUMPRODUCT($B$71:$B$74,AE71:AE74)+SUMPRODUCT($B$77:$B$78,AE77:AE78)+SUMPRODUCT($B$99:$B$104,AE99:AE104))/12</f>
        <v>0</v>
      </c>
      <c r="AF81" s="386" t="n">
        <f aca="false">(SUMPRODUCT($B$49:$B$58,AF49:AF58)+SUMPRODUCT($B$61:$B$68,AF61:AF68)+SUMPRODUCT($B$71:$B$74,AF71:AF74)+SUMPRODUCT($B$77:$B$78,AF77:AF78)+SUMPRODUCT($B$99:$B$104,AF99:AF104))/12</f>
        <v>0</v>
      </c>
      <c r="AG81" s="386" t="n">
        <f aca="false">(SUMPRODUCT($B$49:$B$58,AG49:AG58)+SUMPRODUCT($B$61:$B$68,AG61:AG68)+SUMPRODUCT($B$71:$B$74,AG71:AG74)+SUMPRODUCT($B$77:$B$78,AG77:AG78)+SUMPRODUCT($B$99:$B$104,AG99:AG104))/12</f>
        <v>0</v>
      </c>
      <c r="AH81" s="386" t="n">
        <f aca="false">(SUMPRODUCT($B$49:$B$58,AH49:AH58)+SUMPRODUCT($B$61:$B$68,AH61:AH68)+SUMPRODUCT($B$71:$B$74,AH71:AH74)+SUMPRODUCT($B$77:$B$78,AH77:AH78)+SUMPRODUCT($B$99:$B$104,AH99:AH104))/12</f>
        <v>0</v>
      </c>
      <c r="AI81" s="386" t="n">
        <f aca="false">(SUMPRODUCT($B$49:$B$58,AI49:AI58)+SUMPRODUCT($B$61:$B$68,AI61:AI68)+SUMPRODUCT($B$71:$B$74,AI71:AI74)+SUMPRODUCT($B$77:$B$78,AI77:AI78)+SUMPRODUCT($B$99:$B$104,AI99:AI104))/12</f>
        <v>0</v>
      </c>
      <c r="AJ81" s="386" t="n">
        <f aca="false">(SUMPRODUCT($B$49:$B$58,AJ49:AJ58)+SUMPRODUCT($B$61:$B$68,AJ61:AJ68)+SUMPRODUCT($B$71:$B$74,AJ71:AJ74)+SUMPRODUCT($B$77:$B$78,AJ77:AJ78)+SUMPRODUCT($B$99:$B$104,AJ99:AJ104))/12</f>
        <v>0</v>
      </c>
      <c r="AK81" s="386" t="n">
        <f aca="false">(SUMPRODUCT($B$49:$B$58,AK49:AK58)+SUMPRODUCT($B$61:$B$68,AK61:AK68)+SUMPRODUCT($B$71:$B$74,AK71:AK74)+SUMPRODUCT($B$77:$B$78,AK77:AK78)+SUMPRODUCT($B$99:$B$104,AK99:AK104))/12</f>
        <v>0</v>
      </c>
      <c r="AL81" s="386" t="n">
        <f aca="false">(SUMPRODUCT($B$49:$B$58,AL49:AL58)+SUMPRODUCT($B$61:$B$68,AL61:AL68)+SUMPRODUCT($B$71:$B$74,AL71:AL74)+SUMPRODUCT($B$77:$B$78,AL77:AL78)+SUMPRODUCT($B$99:$B$104,AL99:AL104))/12</f>
        <v>0</v>
      </c>
      <c r="AM81" s="386" t="n">
        <f aca="false">(SUMPRODUCT($B$49:$B$58,AM49:AM58)+SUMPRODUCT($B$61:$B$68,AM61:AM68)+SUMPRODUCT($B$71:$B$74,AM71:AM74)+SUMPRODUCT($B$77:$B$78,AM77:AM78)+SUMPRODUCT($B$99:$B$104,AM99:AM104))/12</f>
        <v>0</v>
      </c>
      <c r="AN81" s="386" t="n">
        <f aca="false">(SUMPRODUCT($B$49:$B$58,AN49:AN58)+SUMPRODUCT($B$61:$B$68,AN61:AN68)+SUMPRODUCT($B$71:$B$74,AN71:AN74)+SUMPRODUCT($B$77:$B$78,AN77:AN78)+SUMPRODUCT($B$99:$B$104,AN99:AN104))/12</f>
        <v>0</v>
      </c>
      <c r="AO81" s="386" t="n">
        <f aca="false">(SUMPRODUCT($B$49:$B$58,AO49:AO58)+SUMPRODUCT($B$61:$B$68,AO61:AO68)+SUMPRODUCT($B$71:$B$74,AO71:AO74)+SUMPRODUCT($B$77:$B$78,AO77:AO78)+SUMPRODUCT($B$99:$B$104,AO99:AO104))/12</f>
        <v>0</v>
      </c>
      <c r="AP81" s="386" t="n">
        <f aca="false">(SUMPRODUCT($B$49:$B$58,AP49:AP58)+SUMPRODUCT($B$61:$B$68,AP61:AP68)+SUMPRODUCT($B$71:$B$74,AP71:AP74)+SUMPRODUCT($B$77:$B$78,AP77:AP78)+SUMPRODUCT($B$99:$B$104,AP99:AP104))/12</f>
        <v>0</v>
      </c>
      <c r="AQ81" s="386" t="n">
        <f aca="false">(SUMPRODUCT($B$49:$B$58,AQ49:AQ58)+SUMPRODUCT($B$61:$B$68,AQ61:AQ68)+SUMPRODUCT($B$71:$B$74,AQ71:AQ74)+SUMPRODUCT($B$77:$B$78,AQ77:AQ78)+SUMPRODUCT($B$99:$B$104,AQ99:AQ104))/12</f>
        <v>0</v>
      </c>
      <c r="AR81" s="386" t="n">
        <f aca="false">(SUMPRODUCT($B$49:$B$58,AR49:AR58)+SUMPRODUCT($B$61:$B$68,AR61:AR68)+SUMPRODUCT($B$71:$B$74,AR71:AR74)+SUMPRODUCT($B$77:$B$78,AR77:AR78)+SUMPRODUCT($B$99:$B$104,AR99:AR104))/12</f>
        <v>0</v>
      </c>
      <c r="AS81" s="386" t="n">
        <f aca="false">(SUMPRODUCT($B$49:$B$58,AS49:AS58)+SUMPRODUCT($B$61:$B$68,AS61:AS68)+SUMPRODUCT($B$71:$B$74,AS71:AS74)+SUMPRODUCT($B$77:$B$78,AS77:AS78)+SUMPRODUCT($B$99:$B$104,AS99:AS104))/12</f>
        <v>0</v>
      </c>
      <c r="AT81" s="386" t="n">
        <f aca="false">(SUMPRODUCT($B$49:$B$58,AT49:AT58)+SUMPRODUCT($B$61:$B$68,AT61:AT68)+SUMPRODUCT($B$71:$B$74,AT71:AT74)+SUMPRODUCT($B$77:$B$78,AT77:AT78)+SUMPRODUCT($B$99:$B$104,AT99:AT104))/12</f>
        <v>0</v>
      </c>
      <c r="AU81" s="386" t="n">
        <f aca="false">(SUMPRODUCT($B$49:$B$58,AU49:AU58)+SUMPRODUCT($B$61:$B$68,AU61:AU68)+SUMPRODUCT($B$71:$B$74,AU71:AU74)+SUMPRODUCT($B$77:$B$78,AU77:AU78)+SUMPRODUCT($B$99:$B$104,AU99:AU104))/12</f>
        <v>0</v>
      </c>
      <c r="AV81" s="386" t="n">
        <f aca="false">(SUMPRODUCT($B$49:$B$58,AV49:AV58)+SUMPRODUCT($B$61:$B$68,AV61:AV68)+SUMPRODUCT($B$71:$B$74,AV71:AV74)+SUMPRODUCT($B$77:$B$78,AV77:AV78)+SUMPRODUCT($B$99:$B$104,AV99:AV104))/12</f>
        <v>0</v>
      </c>
      <c r="AW81" s="386" t="n">
        <f aca="false">(SUMPRODUCT($B$49:$B$58,AW49:AW58)+SUMPRODUCT($B$61:$B$68,AW61:AW68)+SUMPRODUCT($B$71:$B$74,AW71:AW74)+SUMPRODUCT($B$77:$B$78,AW77:AW78)+SUMPRODUCT($B$99:$B$104,AW99:AW104))/12</f>
        <v>0</v>
      </c>
      <c r="AX81" s="386" t="n">
        <f aca="false">(SUMPRODUCT($B$49:$B$58,AX49:AX58)+SUMPRODUCT($B$61:$B$68,AX61:AX68)+SUMPRODUCT($B$71:$B$74,AX71:AX74)+SUMPRODUCT($B$77:$B$78,AX77:AX78)+SUMPRODUCT($B$99:$B$104,AX99:AX104))/12</f>
        <v>0</v>
      </c>
      <c r="AY81" s="386" t="n">
        <f aca="false">(SUMPRODUCT($B$49:$B$58,AY49:AY58)+SUMPRODUCT($B$61:$B$68,AY61:AY68)+SUMPRODUCT($B$71:$B$74,AY71:AY74)+SUMPRODUCT($B$77:$B$78,AY77:AY78)+SUMPRODUCT($B$99:$B$104,AY99:AY104))/12</f>
        <v>0</v>
      </c>
      <c r="AZ81" s="386" t="n">
        <f aca="false">(SUMPRODUCT($B$49:$B$58,AZ49:AZ58)+SUMPRODUCT($B$61:$B$68,AZ61:AZ68)+SUMPRODUCT($B$71:$B$74,AZ71:AZ74)+SUMPRODUCT($B$77:$B$78,AZ77:AZ78)+SUMPRODUCT($B$99:$B$104,AZ99:AZ104))/12</f>
        <v>0</v>
      </c>
      <c r="BA81" s="386" t="n">
        <f aca="false">(SUMPRODUCT($B$49:$B$58,BA49:BA58)+SUMPRODUCT($B$61:$B$68,BA61:BA68)+SUMPRODUCT($B$71:$B$74,BA71:BA74)+SUMPRODUCT($B$77:$B$78,BA77:BA78)+SUMPRODUCT($B$99:$B$104,BA99:BA104))/12</f>
        <v>0</v>
      </c>
      <c r="BB81" s="386" t="n">
        <f aca="false">(SUMPRODUCT($B$49:$B$58,BB49:BB58)+SUMPRODUCT($B$61:$B$68,BB61:BB68)+SUMPRODUCT($B$71:$B$74,BB71:BB74)+SUMPRODUCT($B$77:$B$78,BB77:BB78)+SUMPRODUCT($B$99:$B$104,BB99:BB104))/12</f>
        <v>0</v>
      </c>
      <c r="BC81" s="386" t="n">
        <f aca="false">(SUMPRODUCT($B$49:$B$58,BC49:BC58)+SUMPRODUCT($B$61:$B$68,BC61:BC68)+SUMPRODUCT($B$71:$B$74,BC71:BC74)+SUMPRODUCT($B$77:$B$78,BC77:BC78)+SUMPRODUCT($B$99:$B$104,BC99:BC104))/12</f>
        <v>0</v>
      </c>
      <c r="BD81" s="386" t="n">
        <f aca="false">(SUMPRODUCT($B$49:$B$58,BD49:BD58)+SUMPRODUCT($B$61:$B$68,BD61:BD68)+SUMPRODUCT($B$71:$B$74,BD71:BD74)+SUMPRODUCT($B$77:$B$78,BD77:BD78)+SUMPRODUCT($B$99:$B$104,BD99:BD104))/12</f>
        <v>0</v>
      </c>
      <c r="BE81" s="386" t="n">
        <f aca="false">(SUMPRODUCT($B$49:$B$58,BE49:BE58)+SUMPRODUCT($B$61:$B$68,BE61:BE68)+SUMPRODUCT($B$71:$B$74,BE71:BE74)+SUMPRODUCT($B$77:$B$78,BE77:BE78)+SUMPRODUCT($B$99:$B$104,BE99:BE104))/12</f>
        <v>0</v>
      </c>
      <c r="BF81" s="386" t="n">
        <f aca="false">(SUMPRODUCT($B$49:$B$58,BF49:BF58)+SUMPRODUCT($B$61:$B$68,BF61:BF68)+SUMPRODUCT($B$71:$B$74,BF71:BF74)+SUMPRODUCT($B$77:$B$78,BF77:BF78)+SUMPRODUCT($B$99:$B$104,BF99:BF104))/12</f>
        <v>0</v>
      </c>
      <c r="BG81" s="386" t="n">
        <f aca="false">(SUMPRODUCT($B$49:$B$58,BG49:BG58)+SUMPRODUCT($B$61:$B$68,BG61:BG68)+SUMPRODUCT($B$71:$B$74,BG71:BG74)+SUMPRODUCT($B$77:$B$78,BG77:BG78)+SUMPRODUCT($B$99:$B$104,BG99:BG104))/12</f>
        <v>0</v>
      </c>
      <c r="BH81" s="386" t="n">
        <f aca="false">(SUMPRODUCT($B$49:$B$58,BH49:BH58)+SUMPRODUCT($B$61:$B$68,BH61:BH68)+SUMPRODUCT($B$71:$B$74,BH71:BH74)+SUMPRODUCT($B$77:$B$78,BH77:BH78)+SUMPRODUCT($B$99:$B$104,BH99:BH104))/12</f>
        <v>0</v>
      </c>
      <c r="BI81" s="386" t="n">
        <f aca="false">(SUMPRODUCT($B$49:$B$58,BI49:BI58)+SUMPRODUCT($B$61:$B$68,BI61:BI68)+SUMPRODUCT($B$71:$B$74,BI71:BI74)+SUMPRODUCT($B$77:$B$78,BI77:BI78)+SUMPRODUCT($B$99:$B$104,BI99:BI104))/12</f>
        <v>0</v>
      </c>
      <c r="BJ81" s="386" t="n">
        <f aca="false">(SUMPRODUCT($B$49:$B$58,BJ49:BJ58)+SUMPRODUCT($B$61:$B$68,BJ61:BJ68)+SUMPRODUCT($B$71:$B$74,BJ71:BJ74)+SUMPRODUCT($B$77:$B$78,BJ77:BJ78)+SUMPRODUCT($B$99:$B$104,BJ99:BJ104))/12</f>
        <v>0</v>
      </c>
      <c r="BK81" s="386" t="n">
        <f aca="false">(SUMPRODUCT($B$49:$B$58,BK49:BK58)+SUMPRODUCT($B$61:$B$68,BK61:BK68)+SUMPRODUCT($B$71:$B$74,BK71:BK74)+SUMPRODUCT($B$77:$B$78,BK77:BK78)+SUMPRODUCT($B$99:$B$104,BK99:BK104))/12</f>
        <v>0</v>
      </c>
      <c r="BL81" s="386" t="n">
        <f aca="false">(SUMPRODUCT($B$49:$B$58,BL49:BL58)+SUMPRODUCT($B$61:$B$68,BL61:BL68)+SUMPRODUCT($B$71:$B$74,BL71:BL74)+SUMPRODUCT($B$77:$B$78,BL77:BL78)+SUMPRODUCT($B$99:$B$104,BL99:BL104))/12</f>
        <v>0</v>
      </c>
      <c r="BM81" s="386" t="n">
        <f aca="false">(SUMPRODUCT($B$49:$B$58,BM49:BM58)+SUMPRODUCT($B$61:$B$68,BM61:BM68)+SUMPRODUCT($B$71:$B$74,BM71:BM74)+SUMPRODUCT($B$77:$B$78,BM77:BM78)+SUMPRODUCT($B$99:$B$104,BM99:BM104))/12</f>
        <v>0</v>
      </c>
      <c r="BN81" s="386" t="n">
        <f aca="false">(SUMPRODUCT($B$49:$B$58,BN49:BN58)+SUMPRODUCT($B$61:$B$68,BN61:BN68)+SUMPRODUCT($B$71:$B$74,BN71:BN74)+SUMPRODUCT($B$77:$B$78,BN77:BN78)+SUMPRODUCT($B$99:$B$104,BN99:BN104))/12</f>
        <v>0</v>
      </c>
      <c r="BO81" s="386" t="n">
        <f aca="false">(SUMPRODUCT($B$49:$B$58,BO49:BO58)+SUMPRODUCT($B$61:$B$68,BO61:BO68)+SUMPRODUCT($B$71:$B$74,BO71:BO74)+SUMPRODUCT($B$77:$B$78,BO77:BO78)+SUMPRODUCT($B$99:$B$104,BO99:BO104))/12</f>
        <v>0</v>
      </c>
      <c r="BP81" s="386" t="n">
        <f aca="false">(SUMPRODUCT($B$49:$B$58,BP49:BP58)+SUMPRODUCT($B$61:$B$68,BP61:BP68)+SUMPRODUCT($B$71:$B$74,BP71:BP74)+SUMPRODUCT($B$77:$B$78,BP77:BP78)+SUMPRODUCT($B$99:$B$104,BP99:BP104))/12</f>
        <v>0</v>
      </c>
      <c r="BQ81" s="386" t="n">
        <f aca="false">(SUMPRODUCT($B$49:$B$58,BQ49:BQ58)+SUMPRODUCT($B$61:$B$68,BQ61:BQ68)+SUMPRODUCT($B$71:$B$74,BQ71:BQ74)+SUMPRODUCT($B$77:$B$78,BQ77:BQ78)+SUMPRODUCT($B$99:$B$104,BQ99:BQ104))/12</f>
        <v>0</v>
      </c>
      <c r="BR81" s="386" t="n">
        <f aca="false">(SUMPRODUCT($B$49:$B$58,BR49:BR58)+SUMPRODUCT($B$61:$B$68,BR61:BR68)+SUMPRODUCT($B$71:$B$74,BR71:BR74)+SUMPRODUCT($B$77:$B$78,BR77:BR78)+SUMPRODUCT($B$99:$B$104,BR99:BR104))/12</f>
        <v>0</v>
      </c>
      <c r="BS81" s="386" t="n">
        <f aca="false">(SUMPRODUCT($B$49:$B$58,BS49:BS58)+SUMPRODUCT($B$61:$B$68,BS61:BS68)+SUMPRODUCT($B$71:$B$74,BS71:BS74)+SUMPRODUCT($B$77:$B$78,BS77:BS78)+SUMPRODUCT($B$99:$B$104,BS99:BS104))/12</f>
        <v>0</v>
      </c>
      <c r="BT81" s="386" t="n">
        <f aca="false">(SUMPRODUCT($B$49:$B$58,BT49:BT58)+SUMPRODUCT($B$61:$B$68,BT61:BT68)+SUMPRODUCT($B$71:$B$74,BT71:BT74)+SUMPRODUCT($B$77:$B$78,BT77:BT78)+SUMPRODUCT($B$99:$B$104,BT99:BT104))/12</f>
        <v>0</v>
      </c>
      <c r="BU81" s="386" t="n">
        <f aca="false">(SUMPRODUCT($B$49:$B$58,BU49:BU58)+SUMPRODUCT($B$61:$B$68,BU61:BU68)+SUMPRODUCT($B$71:$B$74,BU71:BU74)+SUMPRODUCT($B$77:$B$78,BU77:BU78)+SUMPRODUCT($B$99:$B$104,BU99:BU104))/12</f>
        <v>0</v>
      </c>
      <c r="BV81" s="386" t="n">
        <f aca="false">(SUMPRODUCT($B$49:$B$58,BV49:BV58)+SUMPRODUCT($B$61:$B$68,BV61:BV68)+SUMPRODUCT($B$71:$B$74,BV71:BV74)+SUMPRODUCT($B$77:$B$78,BV77:BV78)+SUMPRODUCT($B$99:$B$104,BV99:BV104))/12</f>
        <v>0</v>
      </c>
      <c r="BW81" s="386" t="n">
        <f aca="false">(SUMPRODUCT($B$49:$B$58,BW49:BW58)+SUMPRODUCT($B$61:$B$68,BW61:BW68)+SUMPRODUCT($B$71:$B$74,BW71:BW74)+SUMPRODUCT($B$77:$B$78,BW77:BW78)+SUMPRODUCT($B$99:$B$104,BW99:BW104))/12</f>
        <v>0</v>
      </c>
      <c r="BX81" s="386" t="n">
        <f aca="false">(SUMPRODUCT($B$49:$B$58,BX49:BX58)+SUMPRODUCT($B$61:$B$68,BX61:BX68)+SUMPRODUCT($B$71:$B$74,BX71:BX74)+SUMPRODUCT($B$77:$B$78,BX77:BX78)+SUMPRODUCT($B$99:$B$104,BX99:BX104))/12</f>
        <v>0</v>
      </c>
      <c r="BY81" s="386" t="n">
        <f aca="false">(SUMPRODUCT($B$49:$B$58,BY49:BY58)+SUMPRODUCT($B$61:$B$68,BY61:BY68)+SUMPRODUCT($B$71:$B$74,BY71:BY74)+SUMPRODUCT($B$77:$B$78,BY77:BY78)+SUMPRODUCT($B$99:$B$104,BY99:BY104))/12</f>
        <v>0</v>
      </c>
      <c r="BZ81" s="386" t="n">
        <f aca="false">(SUMPRODUCT($B$49:$B$58,BZ49:BZ58)+SUMPRODUCT($B$61:$B$68,BZ61:BZ68)+SUMPRODUCT($B$71:$B$74,BZ71:BZ74)+SUMPRODUCT($B$77:$B$78,BZ77:BZ78)+SUMPRODUCT($B$99:$B$104,BZ99:BZ104))/12</f>
        <v>0</v>
      </c>
      <c r="CA81" s="386" t="n">
        <f aca="false">(SUMPRODUCT($B$49:$B$58,CA49:CA58)+SUMPRODUCT($B$61:$B$68,CA61:CA68)+SUMPRODUCT($B$71:$B$74,CA71:CA74)+SUMPRODUCT($B$77:$B$78,CA77:CA78)+SUMPRODUCT($B$99:$B$104,CA99:CA104))/12</f>
        <v>0</v>
      </c>
      <c r="CB81" s="386" t="n">
        <f aca="false">(SUMPRODUCT($B$49:$B$58,CB49:CB58)+SUMPRODUCT($B$61:$B$68,CB61:CB68)+SUMPRODUCT($B$71:$B$74,CB71:CB74)+SUMPRODUCT($B$77:$B$78,CB77:CB78)+SUMPRODUCT($B$99:$B$104,CB99:CB104))/12</f>
        <v>0</v>
      </c>
      <c r="CC81" s="386" t="n">
        <f aca="false">(SUMPRODUCT($B$49:$B$58,CC49:CC58)+SUMPRODUCT($B$61:$B$68,CC61:CC68)+SUMPRODUCT($B$71:$B$74,CC71:CC74)+SUMPRODUCT($B$77:$B$78,CC77:CC78)+SUMPRODUCT($B$99:$B$104,CC99:CC104))/12</f>
        <v>0</v>
      </c>
      <c r="CD81" s="386" t="n">
        <f aca="false">(SUMPRODUCT($B$49:$B$58,CD49:CD58)+SUMPRODUCT($B$61:$B$68,CD61:CD68)+SUMPRODUCT($B$71:$B$74,CD71:CD74)+SUMPRODUCT($B$77:$B$78,CD77:CD78)+SUMPRODUCT($B$99:$B$104,CD99:CD104))/12</f>
        <v>0</v>
      </c>
      <c r="CE81" s="386" t="n">
        <f aca="false">(SUMPRODUCT($B$49:$B$58,CE49:CE58)+SUMPRODUCT($B$61:$B$68,CE61:CE68)+SUMPRODUCT($B$71:$B$74,CE71:CE74)+SUMPRODUCT($B$77:$B$78,CE77:CE78)+SUMPRODUCT($B$99:$B$104,CE99:CE104))/12</f>
        <v>0</v>
      </c>
      <c r="CF81" s="386" t="n">
        <f aca="false">(SUMPRODUCT($B$49:$B$58,CF49:CF58)+SUMPRODUCT($B$61:$B$68,CF61:CF68)+SUMPRODUCT($B$71:$B$74,CF71:CF74)+SUMPRODUCT($B$77:$B$78,CF77:CF78)+SUMPRODUCT($B$99:$B$104,CF99:CF104))/12</f>
        <v>0</v>
      </c>
      <c r="CG81" s="386" t="n">
        <f aca="false">(SUMPRODUCT($B$49:$B$58,CG49:CG58)+SUMPRODUCT($B$61:$B$68,CG61:CG68)+SUMPRODUCT($B$71:$B$74,CG71:CG74)+SUMPRODUCT($B$77:$B$78,CG77:CG78)+SUMPRODUCT($B$99:$B$104,CG99:CG104))/12</f>
        <v>0</v>
      </c>
      <c r="CH81" s="386" t="n">
        <f aca="false">(SUMPRODUCT($B$49:$B$58,CH49:CH58)+SUMPRODUCT($B$61:$B$68,CH61:CH68)+SUMPRODUCT($B$71:$B$74,CH71:CH74)+SUMPRODUCT($B$77:$B$78,CH77:CH78)+SUMPRODUCT($B$99:$B$104,CH99:CH104))/12</f>
        <v>0</v>
      </c>
      <c r="CI81" s="386" t="n">
        <f aca="false">(SUMPRODUCT($B$49:$B$58,CI49:CI58)+SUMPRODUCT($B$61:$B$68,CI61:CI68)+SUMPRODUCT($B$71:$B$74,CI71:CI74)+SUMPRODUCT($B$77:$B$78,CI77:CI78)+SUMPRODUCT($B$99:$B$104,CI99:CI104))/12</f>
        <v>0</v>
      </c>
      <c r="CJ81" s="386" t="n">
        <f aca="false">(SUMPRODUCT($B$49:$B$58,CJ49:CJ58)+SUMPRODUCT($B$61:$B$68,CJ61:CJ68)+SUMPRODUCT($B$71:$B$74,CJ71:CJ74)+SUMPRODUCT($B$77:$B$78,CJ77:CJ78)+SUMPRODUCT($B$99:$B$104,CJ99:CJ104))/12</f>
        <v>0</v>
      </c>
      <c r="CK81" s="386" t="n">
        <f aca="false">(SUMPRODUCT($B$49:$B$58,CK49:CK58)+SUMPRODUCT($B$61:$B$68,CK61:CK68)+SUMPRODUCT($B$71:$B$74,CK71:CK74)+SUMPRODUCT($B$77:$B$78,CK77:CK78)+SUMPRODUCT($B$99:$B$104,CK99:CK104))/12</f>
        <v>0</v>
      </c>
      <c r="CL81" s="386" t="n">
        <f aca="false">(SUMPRODUCT($B$49:$B$58,CL49:CL58)+SUMPRODUCT($B$61:$B$68,CL61:CL68)+SUMPRODUCT($B$71:$B$74,CL71:CL74)+SUMPRODUCT($B$77:$B$78,CL77:CL78)+SUMPRODUCT($B$99:$B$104,CL99:CL104))/12</f>
        <v>0</v>
      </c>
      <c r="CM81" s="386" t="n">
        <f aca="false">(SUMPRODUCT($B$49:$B$58,CM49:CM58)+SUMPRODUCT($B$61:$B$68,CM61:CM68)+SUMPRODUCT($B$71:$B$74,CM71:CM74)+SUMPRODUCT($B$77:$B$78,CM77:CM78)+SUMPRODUCT($B$99:$B$104,CM99:CM104))/12</f>
        <v>0</v>
      </c>
      <c r="CN81" s="386" t="n">
        <f aca="false">(SUMPRODUCT($B$49:$B$58,CN49:CN58)+SUMPRODUCT($B$61:$B$68,CN61:CN68)+SUMPRODUCT($B$71:$B$74,CN71:CN74)+SUMPRODUCT($B$77:$B$78,CN77:CN78)+SUMPRODUCT($B$99:$B$104,CN99:CN104))/12</f>
        <v>0</v>
      </c>
      <c r="CO81" s="386" t="n">
        <f aca="false">(SUMPRODUCT($B$49:$B$58,CO49:CO58)+SUMPRODUCT($B$61:$B$68,CO61:CO68)+SUMPRODUCT($B$71:$B$74,CO71:CO74)+SUMPRODUCT($B$77:$B$78,CO77:CO78)+SUMPRODUCT($B$99:$B$104,CO99:CO104))/12</f>
        <v>0</v>
      </c>
      <c r="CP81" s="386" t="n">
        <f aca="false">(SUMPRODUCT($B$49:$B$58,CP49:CP58)+SUMPRODUCT($B$61:$B$68,CP61:CP68)+SUMPRODUCT($B$71:$B$74,CP71:CP74)+SUMPRODUCT($B$77:$B$78,CP77:CP78)+SUMPRODUCT($B$99:$B$104,CP99:CP104))/12</f>
        <v>0</v>
      </c>
      <c r="CQ81" s="386" t="n">
        <f aca="false">(SUMPRODUCT($B$49:$B$58,CQ49:CQ58)+SUMPRODUCT($B$61:$B$68,CQ61:CQ68)+SUMPRODUCT($B$71:$B$74,CQ71:CQ74)+SUMPRODUCT($B$77:$B$78,CQ77:CQ78)+SUMPRODUCT($B$99:$B$104,CQ99:CQ104))/12</f>
        <v>0</v>
      </c>
      <c r="CR81" s="386" t="n">
        <f aca="false">(SUMPRODUCT($B$49:$B$58,CR49:CR58)+SUMPRODUCT($B$61:$B$68,CR61:CR68)+SUMPRODUCT($B$71:$B$74,CR71:CR74)+SUMPRODUCT($B$77:$B$78,CR77:CR78)+SUMPRODUCT($B$99:$B$104,CR99:CR104))/12</f>
        <v>0</v>
      </c>
      <c r="CS81" s="386" t="n">
        <f aca="false">(SUMPRODUCT($B$49:$B$58,CS49:CS58)+SUMPRODUCT($B$61:$B$68,CS61:CS68)+SUMPRODUCT($B$71:$B$74,CS71:CS74)+SUMPRODUCT($B$77:$B$78,CS77:CS78)+SUMPRODUCT($B$99:$B$104,CS99:CS104))/12</f>
        <v>0</v>
      </c>
      <c r="CT81" s="386" t="n">
        <f aca="false">(SUMPRODUCT($B$49:$B$58,CT49:CT58)+SUMPRODUCT($B$61:$B$68,CT61:CT68)+SUMPRODUCT($B$71:$B$74,CT71:CT74)+SUMPRODUCT($B$77:$B$78,CT77:CT78)+SUMPRODUCT($B$99:$B$104,CT99:CT104))/12</f>
        <v>0</v>
      </c>
      <c r="CU81" s="386" t="n">
        <f aca="false">(SUMPRODUCT($B$49:$B$58,CU49:CU58)+SUMPRODUCT($B$61:$B$68,CU61:CU68)+SUMPRODUCT($B$71:$B$74,CU71:CU74)+SUMPRODUCT($B$77:$B$78,CU77:CU78)+SUMPRODUCT($B$99:$B$104,CU99:CU104))/12</f>
        <v>0</v>
      </c>
      <c r="CV81" s="386" t="n">
        <f aca="false">(SUMPRODUCT($B$49:$B$58,CV49:CV58)+SUMPRODUCT($B$61:$B$68,CV61:CV68)+SUMPRODUCT($B$71:$B$74,CV71:CV74)+SUMPRODUCT($B$77:$B$78,CV77:CV78)+SUMPRODUCT($B$99:$B$104,CV99:CV104))/12</f>
        <v>0</v>
      </c>
      <c r="CW81" s="386" t="n">
        <f aca="false">(SUMPRODUCT($B$49:$B$58,CW49:CW58)+SUMPRODUCT($B$61:$B$68,CW61:CW68)+SUMPRODUCT($B$71:$B$74,CW71:CW74)+SUMPRODUCT($B$77:$B$78,CW77:CW78)+SUMPRODUCT($B$99:$B$104,CW99:CW104))/12</f>
        <v>0</v>
      </c>
      <c r="CX81" s="386" t="n">
        <f aca="false">(SUMPRODUCT($B$49:$B$58,CX49:CX58)+SUMPRODUCT($B$61:$B$68,CX61:CX68)+SUMPRODUCT($B$71:$B$74,CX71:CX74)+SUMPRODUCT($B$77:$B$78,CX77:CX78)+SUMPRODUCT($B$99:$B$104,CX99:CX104))/12</f>
        <v>0</v>
      </c>
      <c r="CY81" s="386" t="n">
        <f aca="false">(SUMPRODUCT($B$49:$B$58,CY49:CY58)+SUMPRODUCT($B$61:$B$68,CY61:CY68)+SUMPRODUCT($B$71:$B$74,CY71:CY74)+SUMPRODUCT($B$77:$B$78,CY77:CY78)+SUMPRODUCT($B$99:$B$104,CY99:CY104))/12</f>
        <v>0</v>
      </c>
      <c r="CZ81" s="386" t="n">
        <f aca="false">(SUMPRODUCT($B$49:$B$58,CZ49:CZ58)+SUMPRODUCT($B$61:$B$68,CZ61:CZ68)+SUMPRODUCT($B$71:$B$74,CZ71:CZ74)+SUMPRODUCT($B$77:$B$78,CZ77:CZ78)+SUMPRODUCT($B$99:$B$104,CZ99:CZ104))/12</f>
        <v>0</v>
      </c>
      <c r="DA81" s="386" t="n">
        <f aca="false">(SUMPRODUCT($B$49:$B$58,DA49:DA58)+SUMPRODUCT($B$61:$B$68,DA61:DA68)+SUMPRODUCT($B$71:$B$74,DA71:DA74)+SUMPRODUCT($B$77:$B$78,DA77:DA78)+SUMPRODUCT($B$99:$B$104,DA99:DA104))/12</f>
        <v>0</v>
      </c>
      <c r="DB81" s="386" t="n">
        <f aca="false">(SUMPRODUCT($B$49:$B$58,DB49:DB58)+SUMPRODUCT($B$61:$B$68,DB61:DB68)+SUMPRODUCT($B$71:$B$74,DB71:DB74)+SUMPRODUCT($B$77:$B$78,DB77:DB78)+SUMPRODUCT($B$99:$B$104,DB99:DB104))/12</f>
        <v>0</v>
      </c>
      <c r="DC81" s="386" t="n">
        <f aca="false">(SUMPRODUCT($B$49:$B$58,DC49:DC58)+SUMPRODUCT($B$61:$B$68,DC61:DC68)+SUMPRODUCT($B$71:$B$74,DC71:DC74)+SUMPRODUCT($B$77:$B$78,DC77:DC78)+SUMPRODUCT($B$99:$B$104,DC99:DC104))/12</f>
        <v>0</v>
      </c>
      <c r="DD81" s="386" t="n">
        <f aca="false">(SUMPRODUCT($B$49:$B$58,DD49:DD58)+SUMPRODUCT($B$61:$B$68,DD61:DD68)+SUMPRODUCT($B$71:$B$74,DD71:DD74)+SUMPRODUCT($B$77:$B$78,DD77:DD78)+SUMPRODUCT($B$99:$B$104,DD99:DD104))/12</f>
        <v>0</v>
      </c>
      <c r="DE81" s="386" t="n">
        <f aca="false">(SUMPRODUCT($B$49:$B$58,DE49:DE58)+SUMPRODUCT($B$61:$B$68,DE61:DE68)+SUMPRODUCT($B$71:$B$74,DE71:DE74)+SUMPRODUCT($B$77:$B$78,DE77:DE78)+SUMPRODUCT($B$99:$B$104,DE99:DE104))/12</f>
        <v>0</v>
      </c>
    </row>
    <row r="82" customFormat="false" ht="13.5" hidden="false" customHeight="true" outlineLevel="0" collapsed="false">
      <c r="A82" s="110" t="s">
        <v>1411</v>
      </c>
      <c r="E82" s="386" t="n">
        <v>0</v>
      </c>
      <c r="F82" s="386" t="n">
        <f aca="false">(SUMPRODUCT($B$49:$B$58,(F49:F58&gt;E49:E58)*1)+SUMPRODUCT($B$61:$B$68,(F61:F68&gt;E61:E68)*1)+SUMPRODUCT($B$71:$B$74,(F71:F74&gt;E71:E74)*1)+SUMPRODUCT($B$77:$B$78,(F77:F78&gt;E77:E78)*1)+SUMPRODUCT($B$99:$B$104,(F99:F104&gt;E99:E104)*1))*$B$21</f>
        <v>0</v>
      </c>
      <c r="G82" s="386" t="n">
        <f aca="false">(SUMPRODUCT($B$49:$B$58,(G49:G58&gt;F49:F58)*1)+SUMPRODUCT($B$61:$B$68,(G61:G68&gt;F61:F68)*1)+SUMPRODUCT($B$71:$B$74,(G71:G74&gt;F71:F74)*1)+SUMPRODUCT($B$77:$B$78,(G77:G78&gt;F77:F78)*1)+SUMPRODUCT($B$99:$B$104,(G99:G104&gt;F99:F104)*1))*$B$21</f>
        <v>0</v>
      </c>
      <c r="H82" s="386" t="n">
        <f aca="false">(SUMPRODUCT($B$49:$B$58,(H49:H58&gt;G49:G58)*1)+SUMPRODUCT($B$61:$B$68,(H61:H68&gt;G61:G68)*1)+SUMPRODUCT($B$71:$B$74,(H71:H74&gt;G71:G74)*1)+SUMPRODUCT($B$77:$B$78,(H77:H78&gt;G77:G78)*1)+SUMPRODUCT($B$99:$B$104,(H99:H104&gt;G99:G104)*1))*$B$21</f>
        <v>0</v>
      </c>
      <c r="I82" s="386" t="n">
        <f aca="false">(SUMPRODUCT($B$49:$B$58,(I49:I58&gt;H49:H58)*1)+SUMPRODUCT($B$61:$B$68,(I61:I68&gt;H61:H68)*1)+SUMPRODUCT($B$71:$B$74,(I71:I74&gt;H71:H74)*1)+SUMPRODUCT($B$77:$B$78,(I77:I78&gt;H77:H78)*1)+SUMPRODUCT($B$99:$B$104,(I99:I104&gt;H99:H104)*1))*$B$21</f>
        <v>19500</v>
      </c>
      <c r="J82" s="386" t="n">
        <f aca="false">(SUMPRODUCT($B$49:$B$58,(J49:J58&gt;I49:I58)*1)+SUMPRODUCT($B$61:$B$68,(J61:J68&gt;I61:I68)*1)+SUMPRODUCT($B$71:$B$74,(J71:J74&gt;I71:I74)*1)+SUMPRODUCT($B$77:$B$78,(J77:J78&gt;I77:I78)*1)+SUMPRODUCT($B$99:$B$104,(J99:J104&gt;I99:I104)*1))*$B$21</f>
        <v>0</v>
      </c>
      <c r="K82" s="386" t="n">
        <f aca="false">(SUMPRODUCT($B$49:$B$58,(K49:K58&gt;J49:J58)*1)+SUMPRODUCT($B$61:$B$68,(K61:K68&gt;J61:J68)*1)+SUMPRODUCT($B$71:$B$74,(K71:K74&gt;J71:J74)*1)+SUMPRODUCT($B$77:$B$78,(K77:K78&gt;J77:J78)*1)+SUMPRODUCT($B$99:$B$104,(K99:K104&gt;J99:J104)*1))*$B$21</f>
        <v>0</v>
      </c>
      <c r="L82" s="386" t="n">
        <f aca="false">(SUMPRODUCT($B$49:$B$58,(L49:L58&gt;K49:K58)*1)+SUMPRODUCT($B$61:$B$68,(L61:L68&gt;K61:K68)*1)+SUMPRODUCT($B$71:$B$74,(L71:L74&gt;K71:K74)*1)+SUMPRODUCT($B$77:$B$78,(L77:L78&gt;K77:K78)*1)+SUMPRODUCT($B$99:$B$104,(L99:L104&gt;K99:K104)*1))*$B$21</f>
        <v>0</v>
      </c>
      <c r="M82" s="386" t="n">
        <f aca="false">(SUMPRODUCT($B$49:$B$58,(M49:M58&gt;L49:L58)*1)+SUMPRODUCT($B$61:$B$68,(M61:M68&gt;L61:L68)*1)+SUMPRODUCT($B$71:$B$74,(M71:M74&gt;L71:L74)*1)+SUMPRODUCT($B$77:$B$78,(M77:M78&gt;L77:L78)*1)+SUMPRODUCT($B$99:$B$104,(M99:M104&gt;L99:L104)*1))*$B$21</f>
        <v>42750</v>
      </c>
      <c r="N82" s="386" t="n">
        <f aca="false">(SUMPRODUCT($B$49:$B$58,(N49:N58&gt;M49:M58)*1)+SUMPRODUCT($B$61:$B$68,(N61:N68&gt;M61:M68)*1)+SUMPRODUCT($B$71:$B$74,(N71:N74&gt;M71:M74)*1)+SUMPRODUCT($B$77:$B$78,(N77:N78&gt;M77:M78)*1)+SUMPRODUCT($B$99:$B$104,(N99:N104&gt;M99:M104)*1))*$B$21</f>
        <v>43500</v>
      </c>
      <c r="O82" s="386" t="n">
        <f aca="false">(SUMPRODUCT($B$49:$B$58,(O49:O58&gt;N49:N58)*1)+SUMPRODUCT($B$61:$B$68,(O61:O68&gt;N61:N68)*1)+SUMPRODUCT($B$71:$B$74,(O71:O74&gt;N71:N74)*1)+SUMPRODUCT($B$77:$B$78,(O77:O78&gt;N77:N78)*1)+SUMPRODUCT($B$99:$B$104,(O99:O104&gt;N99:N104)*1))*$B$21</f>
        <v>81750</v>
      </c>
      <c r="P82" s="386" t="n">
        <f aca="false">(SUMPRODUCT($B$49:$B$58,(P49:P58&gt;O49:O58)*1)+SUMPRODUCT($B$61:$B$68,(P61:P68&gt;O61:O68)*1)+SUMPRODUCT($B$71:$B$74,(P71:P74&gt;O71:O74)*1)+SUMPRODUCT($B$77:$B$78,(P77:P78&gt;O77:O78)*1)+SUMPRODUCT($B$99:$B$104,(P99:P104&gt;O99:O104)*1))*$B$21</f>
        <v>0</v>
      </c>
      <c r="Q82" s="386" t="n">
        <f aca="false">(SUMPRODUCT($B$49:$B$58,(Q49:Q58&gt;P49:P58)*1)+SUMPRODUCT($B$61:$B$68,(Q61:Q68&gt;P61:P68)*1)+SUMPRODUCT($B$71:$B$74,(Q71:Q74&gt;P71:P74)*1)+SUMPRODUCT($B$77:$B$78,(Q77:Q78&gt;P77:P78)*1)+SUMPRODUCT($B$99:$B$104,(Q99:Q104&gt;P99:P104)*1))*$B$21</f>
        <v>0</v>
      </c>
      <c r="R82" s="386" t="n">
        <f aca="false">(SUMPRODUCT($B$49:$B$58,(R49:R58&gt;Q49:Q58)*1)+SUMPRODUCT($B$61:$B$68,(R61:R68&gt;Q61:Q68)*1)+SUMPRODUCT($B$71:$B$74,(R71:R74&gt;Q71:Q74)*1)+SUMPRODUCT($B$77:$B$78,(R77:R78&gt;Q77:Q78)*1)+SUMPRODUCT($B$99:$B$104,(R99:R104&gt;Q99:Q104)*1))*$B$21</f>
        <v>0</v>
      </c>
      <c r="S82" s="386" t="n">
        <f aca="false">(SUMPRODUCT($B$49:$B$58,(S49:S58&gt;R49:R58)*1)+SUMPRODUCT($B$61:$B$68,(S61:S68&gt;R61:R68)*1)+SUMPRODUCT($B$71:$B$74,(S71:S74&gt;R71:R74)*1)+SUMPRODUCT($B$77:$B$78,(S77:S78&gt;R77:R78)*1)+SUMPRODUCT($B$99:$B$104,(S99:S104&gt;R99:R104)*1))*$B$21</f>
        <v>0</v>
      </c>
      <c r="T82" s="386" t="n">
        <f aca="false">(SUMPRODUCT($B$49:$B$58,(T49:T58&gt;S49:S58)*1)+SUMPRODUCT($B$61:$B$68,(T61:T68&gt;S61:S68)*1)+SUMPRODUCT($B$71:$B$74,(T71:T74&gt;S71:S74)*1)+SUMPRODUCT($B$77:$B$78,(T77:T78&gt;S77:S78)*1)+SUMPRODUCT($B$99:$B$104,(T99:T104&gt;S99:S104)*1))*$B$21</f>
        <v>0</v>
      </c>
      <c r="U82" s="386" t="n">
        <f aca="false">(SUMPRODUCT($B$49:$B$58,(U49:U58&gt;T49:T58)*1)+SUMPRODUCT($B$61:$B$68,(U61:U68&gt;T61:T68)*1)+SUMPRODUCT($B$71:$B$74,(U71:U74&gt;T71:T74)*1)+SUMPRODUCT($B$77:$B$78,(U77:U78&gt;T77:T78)*1)+SUMPRODUCT($B$99:$B$104,(U99:U104&gt;T99:T104)*1))*$B$21</f>
        <v>0</v>
      </c>
      <c r="V82" s="386" t="n">
        <f aca="false">(SUMPRODUCT($B$49:$B$58,(V49:V58&gt;U49:U58)*1)+SUMPRODUCT($B$61:$B$68,(V61:V68&gt;U61:U68)*1)+SUMPRODUCT($B$71:$B$74,(V71:V74&gt;U71:U74)*1)+SUMPRODUCT($B$77:$B$78,(V77:V78&gt;U77:U78)*1)+SUMPRODUCT($B$99:$B$104,(V99:V104&gt;U99:U104)*1))*$B$21</f>
        <v>0</v>
      </c>
      <c r="W82" s="386" t="n">
        <f aca="false">(SUMPRODUCT($B$49:$B$58,(W49:W58&gt;V49:V58)*1)+SUMPRODUCT($B$61:$B$68,(W61:W68&gt;V61:V68)*1)+SUMPRODUCT($B$71:$B$74,(W71:W74&gt;V71:V74)*1)+SUMPRODUCT($B$77:$B$78,(W77:W78&gt;V77:V78)*1)+SUMPRODUCT($B$99:$B$104,(W99:W104&gt;V99:V104)*1))*$B$21</f>
        <v>0</v>
      </c>
      <c r="X82" s="386" t="n">
        <f aca="false">(SUMPRODUCT($B$49:$B$58,(X49:X58&gt;W49:W58)*1)+SUMPRODUCT($B$61:$B$68,(X61:X68&gt;W61:W68)*1)+SUMPRODUCT($B$71:$B$74,(X71:X74&gt;W71:W74)*1)+SUMPRODUCT($B$77:$B$78,(X77:X78&gt;W77:W78)*1)+SUMPRODUCT($B$99:$B$104,(X99:X104&gt;W99:W104)*1))*$B$21</f>
        <v>0</v>
      </c>
      <c r="Y82" s="386" t="n">
        <f aca="false">(SUMPRODUCT($B$49:$B$58,(Y49:Y58&gt;X49:X58)*1)+SUMPRODUCT($B$61:$B$68,(Y61:Y68&gt;X61:X68)*1)+SUMPRODUCT($B$71:$B$74,(Y71:Y74&gt;X71:X74)*1)+SUMPRODUCT($B$77:$B$78,(Y77:Y78&gt;X77:X78)*1)+SUMPRODUCT($B$99:$B$104,(Y99:Y104&gt;X99:X104)*1))*$B$21</f>
        <v>0</v>
      </c>
      <c r="Z82" s="386" t="n">
        <f aca="false">(SUMPRODUCT($B$49:$B$58,(Z49:Z58&gt;Y49:Y58)*1)+SUMPRODUCT($B$61:$B$68,(Z61:Z68&gt;Y61:Y68)*1)+SUMPRODUCT($B$71:$B$74,(Z71:Z74&gt;Y71:Y74)*1)+SUMPRODUCT($B$77:$B$78,(Z77:Z78&gt;Y77:Y78)*1)+SUMPRODUCT($B$99:$B$104,(Z99:Z104&gt;Y99:Y104)*1))*$B$21</f>
        <v>0</v>
      </c>
      <c r="AA82" s="386" t="n">
        <f aca="false">(SUMPRODUCT($B$49:$B$58,(AA49:AA58&gt;Z49:Z58)*1)+SUMPRODUCT($B$61:$B$68,(AA61:AA68&gt;Z61:Z68)*1)+SUMPRODUCT($B$71:$B$74,(AA71:AA74&gt;Z71:Z74)*1)+SUMPRODUCT($B$77:$B$78,(AA77:AA78&gt;Z77:Z78)*1)+SUMPRODUCT($B$99:$B$104,(AA99:AA104&gt;Z99:Z104)*1))*$B$21</f>
        <v>0</v>
      </c>
      <c r="AB82" s="386" t="n">
        <f aca="false">(SUMPRODUCT($B$49:$B$58,(AB49:AB58&gt;AA49:AA58)*1)+SUMPRODUCT($B$61:$B$68,(AB61:AB68&gt;AA61:AA68)*1)+SUMPRODUCT($B$71:$B$74,(AB71:AB74&gt;AA71:AA74)*1)+SUMPRODUCT($B$77:$B$78,(AB77:AB78&gt;AA77:AA78)*1)+SUMPRODUCT($B$99:$B$104,(AB99:AB104&gt;AA99:AA104)*1))*$B$21</f>
        <v>0</v>
      </c>
      <c r="AC82" s="386" t="n">
        <f aca="false">(SUMPRODUCT($B$49:$B$58,(AC49:AC58&gt;AB49:AB58)*1)+SUMPRODUCT($B$61:$B$68,(AC61:AC68&gt;AB61:AB68)*1)+SUMPRODUCT($B$71:$B$74,(AC71:AC74&gt;AB71:AB74)*1)+SUMPRODUCT($B$77:$B$78,(AC77:AC78&gt;AB77:AB78)*1)+SUMPRODUCT($B$99:$B$104,(AC99:AC104&gt;AB99:AB104)*1))*$B$21</f>
        <v>0</v>
      </c>
      <c r="AD82" s="386" t="n">
        <f aca="false">(SUMPRODUCT($B$49:$B$58,(AD49:AD58&gt;AC49:AC58)*1)+SUMPRODUCT($B$61:$B$68,(AD61:AD68&gt;AC61:AC68)*1)+SUMPRODUCT($B$71:$B$74,(AD71:AD74&gt;AC71:AC74)*1)+SUMPRODUCT($B$77:$B$78,(AD77:AD78&gt;AC77:AC78)*1)+SUMPRODUCT($B$99:$B$104,(AD99:AD104&gt;AC99:AC104)*1))*$B$21</f>
        <v>0</v>
      </c>
      <c r="AE82" s="386" t="n">
        <f aca="false">(SUMPRODUCT($B$49:$B$58,(AE49:AE58&gt;AD49:AD58)*1)+SUMPRODUCT($B$61:$B$68,(AE61:AE68&gt;AD61:AD68)*1)+SUMPRODUCT($B$71:$B$74,(AE71:AE74&gt;AD71:AD74)*1)+SUMPRODUCT($B$77:$B$78,(AE77:AE78&gt;AD77:AD78)*1)+SUMPRODUCT($B$99:$B$104,(AE99:AE104&gt;AD99:AD104)*1))*$B$21</f>
        <v>0</v>
      </c>
      <c r="AF82" s="386" t="n">
        <f aca="false">(SUMPRODUCT($B$49:$B$58,(AF49:AF58&gt;AE49:AE58)*1)+SUMPRODUCT($B$61:$B$68,(AF61:AF68&gt;AE61:AE68)*1)+SUMPRODUCT($B$71:$B$74,(AF71:AF74&gt;AE71:AE74)*1)+SUMPRODUCT($B$77:$B$78,(AF77:AF78&gt;AE77:AE78)*1)+SUMPRODUCT($B$99:$B$104,(AF99:AF104&gt;AE99:AE104)*1))*$B$21</f>
        <v>0</v>
      </c>
      <c r="AG82" s="386" t="n">
        <f aca="false">(SUMPRODUCT($B$49:$B$58,(AG49:AG58&gt;AF49:AF58)*1)+SUMPRODUCT($B$61:$B$68,(AG61:AG68&gt;AF61:AF68)*1)+SUMPRODUCT($B$71:$B$74,(AG71:AG74&gt;AF71:AF74)*1)+SUMPRODUCT($B$77:$B$78,(AG77:AG78&gt;AF77:AF78)*1)+SUMPRODUCT($B$99:$B$104,(AG99:AG104&gt;AF99:AF104)*1))*$B$21</f>
        <v>0</v>
      </c>
      <c r="AH82" s="386" t="n">
        <f aca="false">(SUMPRODUCT($B$49:$B$58,(AH49:AH58&gt;AG49:AG58)*1)+SUMPRODUCT($B$61:$B$68,(AH61:AH68&gt;AG61:AG68)*1)+SUMPRODUCT($B$71:$B$74,(AH71:AH74&gt;AG71:AG74)*1)+SUMPRODUCT($B$77:$B$78,(AH77:AH78&gt;AG77:AG78)*1)+SUMPRODUCT($B$99:$B$104,(AH99:AH104&gt;AG99:AG104)*1))*$B$21</f>
        <v>0</v>
      </c>
      <c r="AI82" s="386" t="n">
        <f aca="false">(SUMPRODUCT($B$49:$B$58,(AI49:AI58&gt;AH49:AH58)*1)+SUMPRODUCT($B$61:$B$68,(AI61:AI68&gt;AH61:AH68)*1)+SUMPRODUCT($B$71:$B$74,(AI71:AI74&gt;AH71:AH74)*1)+SUMPRODUCT($B$77:$B$78,(AI77:AI78&gt;AH77:AH78)*1)+SUMPRODUCT($B$99:$B$104,(AI99:AI104&gt;AH99:AH104)*1))*$B$21</f>
        <v>0</v>
      </c>
      <c r="AJ82" s="386" t="n">
        <f aca="false">(SUMPRODUCT($B$49:$B$58,(AJ49:AJ58&gt;AI49:AI58)*1)+SUMPRODUCT($B$61:$B$68,(AJ61:AJ68&gt;AI61:AI68)*1)+SUMPRODUCT($B$71:$B$74,(AJ71:AJ74&gt;AI71:AI74)*1)+SUMPRODUCT($B$77:$B$78,(AJ77:AJ78&gt;AI77:AI78)*1)+SUMPRODUCT($B$99:$B$104,(AJ99:AJ104&gt;AI99:AI104)*1))*$B$21</f>
        <v>0</v>
      </c>
      <c r="AK82" s="386" t="n">
        <f aca="false">(SUMPRODUCT($B$49:$B$58,(AK49:AK58&gt;AJ49:AJ58)*1)+SUMPRODUCT($B$61:$B$68,(AK61:AK68&gt;AJ61:AJ68)*1)+SUMPRODUCT($B$71:$B$74,(AK71:AK74&gt;AJ71:AJ74)*1)+SUMPRODUCT($B$77:$B$78,(AK77:AK78&gt;AJ77:AJ78)*1)+SUMPRODUCT($B$99:$B$104,(AK99:AK104&gt;AJ99:AJ104)*1))*$B$21</f>
        <v>0</v>
      </c>
      <c r="AL82" s="386" t="n">
        <f aca="false">(SUMPRODUCT($B$49:$B$58,(AL49:AL58&gt;AK49:AK58)*1)+SUMPRODUCT($B$61:$B$68,(AL61:AL68&gt;AK61:AK68)*1)+SUMPRODUCT($B$71:$B$74,(AL71:AL74&gt;AK71:AK74)*1)+SUMPRODUCT($B$77:$B$78,(AL77:AL78&gt;AK77:AK78)*1)+SUMPRODUCT($B$99:$B$104,(AL99:AL104&gt;AK99:AK104)*1))*$B$21</f>
        <v>0</v>
      </c>
      <c r="AM82" s="386" t="n">
        <f aca="false">(SUMPRODUCT($B$49:$B$58,(AM49:AM58&gt;AL49:AL58)*1)+SUMPRODUCT($B$61:$B$68,(AM61:AM68&gt;AL61:AL68)*1)+SUMPRODUCT($B$71:$B$74,(AM71:AM74&gt;AL71:AL74)*1)+SUMPRODUCT($B$77:$B$78,(AM77:AM78&gt;AL77:AL78)*1)+SUMPRODUCT($B$99:$B$104,(AM99:AM104&gt;AL99:AL104)*1))*$B$21</f>
        <v>0</v>
      </c>
      <c r="AN82" s="386" t="n">
        <f aca="false">(SUMPRODUCT($B$49:$B$58,(AN49:AN58&gt;AM49:AM58)*1)+SUMPRODUCT($B$61:$B$68,(AN61:AN68&gt;AM61:AM68)*1)+SUMPRODUCT($B$71:$B$74,(AN71:AN74&gt;AM71:AM74)*1)+SUMPRODUCT($B$77:$B$78,(AN77:AN78&gt;AM77:AM78)*1)+SUMPRODUCT($B$99:$B$104,(AN99:AN104&gt;AM99:AM104)*1))*$B$21</f>
        <v>0</v>
      </c>
      <c r="AO82" s="386" t="n">
        <f aca="false">(SUMPRODUCT($B$49:$B$58,(AO49:AO58&gt;AN49:AN58)*1)+SUMPRODUCT($B$61:$B$68,(AO61:AO68&gt;AN61:AN68)*1)+SUMPRODUCT($B$71:$B$74,(AO71:AO74&gt;AN71:AN74)*1)+SUMPRODUCT($B$77:$B$78,(AO77:AO78&gt;AN77:AN78)*1)+SUMPRODUCT($B$99:$B$104,(AO99:AO104&gt;AN99:AN104)*1))*$B$21</f>
        <v>0</v>
      </c>
      <c r="AP82" s="386" t="n">
        <f aca="false">(SUMPRODUCT($B$49:$B$58,(AP49:AP58&gt;AO49:AO58)*1)+SUMPRODUCT($B$61:$B$68,(AP61:AP68&gt;AO61:AO68)*1)+SUMPRODUCT($B$71:$B$74,(AP71:AP74&gt;AO71:AO74)*1)+SUMPRODUCT($B$77:$B$78,(AP77:AP78&gt;AO77:AO78)*1)+SUMPRODUCT($B$99:$B$104,(AP99:AP104&gt;AO99:AO104)*1))*$B$21</f>
        <v>0</v>
      </c>
      <c r="AQ82" s="386" t="n">
        <f aca="false">(SUMPRODUCT($B$49:$B$58,(AQ49:AQ58&gt;AP49:AP58)*1)+SUMPRODUCT($B$61:$B$68,(AQ61:AQ68&gt;AP61:AP68)*1)+SUMPRODUCT($B$71:$B$74,(AQ71:AQ74&gt;AP71:AP74)*1)+SUMPRODUCT($B$77:$B$78,(AQ77:AQ78&gt;AP77:AP78)*1)+SUMPRODUCT($B$99:$B$104,(AQ99:AQ104&gt;AP99:AP104)*1))*$B$21</f>
        <v>0</v>
      </c>
      <c r="AR82" s="386" t="n">
        <f aca="false">(SUMPRODUCT($B$49:$B$58,(AR49:AR58&gt;AQ49:AQ58)*1)+SUMPRODUCT($B$61:$B$68,(AR61:AR68&gt;AQ61:AQ68)*1)+SUMPRODUCT($B$71:$B$74,(AR71:AR74&gt;AQ71:AQ74)*1)+SUMPRODUCT($B$77:$B$78,(AR77:AR78&gt;AQ77:AQ78)*1)+SUMPRODUCT($B$99:$B$104,(AR99:AR104&gt;AQ99:AQ104)*1))*$B$21</f>
        <v>0</v>
      </c>
      <c r="AS82" s="386" t="n">
        <f aca="false">(SUMPRODUCT($B$49:$B$58,(AS49:AS58&gt;AR49:AR58)*1)+SUMPRODUCT($B$61:$B$68,(AS61:AS68&gt;AR61:AR68)*1)+SUMPRODUCT($B$71:$B$74,(AS71:AS74&gt;AR71:AR74)*1)+SUMPRODUCT($B$77:$B$78,(AS77:AS78&gt;AR77:AR78)*1)+SUMPRODUCT($B$99:$B$104,(AS99:AS104&gt;AR99:AR104)*1))*$B$21</f>
        <v>0</v>
      </c>
      <c r="AT82" s="386" t="n">
        <f aca="false">(SUMPRODUCT($B$49:$B$58,(AT49:AT58&gt;AS49:AS58)*1)+SUMPRODUCT($B$61:$B$68,(AT61:AT68&gt;AS61:AS68)*1)+SUMPRODUCT($B$71:$B$74,(AT71:AT74&gt;AS71:AS74)*1)+SUMPRODUCT($B$77:$B$78,(AT77:AT78&gt;AS77:AS78)*1)+SUMPRODUCT($B$99:$B$104,(AT99:AT104&gt;AS99:AS104)*1))*$B$21</f>
        <v>0</v>
      </c>
      <c r="AU82" s="386" t="n">
        <f aca="false">(SUMPRODUCT($B$49:$B$58,(AU49:AU58&gt;AT49:AT58)*1)+SUMPRODUCT($B$61:$B$68,(AU61:AU68&gt;AT61:AT68)*1)+SUMPRODUCT($B$71:$B$74,(AU71:AU74&gt;AT71:AT74)*1)+SUMPRODUCT($B$77:$B$78,(AU77:AU78&gt;AT77:AT78)*1)+SUMPRODUCT($B$99:$B$104,(AU99:AU104&gt;AT99:AT104)*1))*$B$21</f>
        <v>0</v>
      </c>
      <c r="AV82" s="386" t="n">
        <f aca="false">(SUMPRODUCT($B$49:$B$58,(AV49:AV58&gt;AU49:AU58)*1)+SUMPRODUCT($B$61:$B$68,(AV61:AV68&gt;AU61:AU68)*1)+SUMPRODUCT($B$71:$B$74,(AV71:AV74&gt;AU71:AU74)*1)+SUMPRODUCT($B$77:$B$78,(AV77:AV78&gt;AU77:AU78)*1)+SUMPRODUCT($B$99:$B$104,(AV99:AV104&gt;AU99:AU104)*1))*$B$21</f>
        <v>0</v>
      </c>
      <c r="AW82" s="386" t="n">
        <f aca="false">(SUMPRODUCT($B$49:$B$58,(AW49:AW58&gt;AV49:AV58)*1)+SUMPRODUCT($B$61:$B$68,(AW61:AW68&gt;AV61:AV68)*1)+SUMPRODUCT($B$71:$B$74,(AW71:AW74&gt;AV71:AV74)*1)+SUMPRODUCT($B$77:$B$78,(AW77:AW78&gt;AV77:AV78)*1)+SUMPRODUCT($B$99:$B$104,(AW99:AW104&gt;AV99:AV104)*1))*$B$21</f>
        <v>0</v>
      </c>
      <c r="AX82" s="386" t="n">
        <f aca="false">(SUMPRODUCT($B$49:$B$58,(AX49:AX58&gt;AW49:AW58)*1)+SUMPRODUCT($B$61:$B$68,(AX61:AX68&gt;AW61:AW68)*1)+SUMPRODUCT($B$71:$B$74,(AX71:AX74&gt;AW71:AW74)*1)+SUMPRODUCT($B$77:$B$78,(AX77:AX78&gt;AW77:AW78)*1)+SUMPRODUCT($B$99:$B$104,(AX99:AX104&gt;AW99:AW104)*1))*$B$21</f>
        <v>0</v>
      </c>
      <c r="AY82" s="386" t="n">
        <f aca="false">(SUMPRODUCT($B$49:$B$58,(AY49:AY58&gt;AX49:AX58)*1)+SUMPRODUCT($B$61:$B$68,(AY61:AY68&gt;AX61:AX68)*1)+SUMPRODUCT($B$71:$B$74,(AY71:AY74&gt;AX71:AX74)*1)+SUMPRODUCT($B$77:$B$78,(AY77:AY78&gt;AX77:AX78)*1)+SUMPRODUCT($B$99:$B$104,(AY99:AY104&gt;AX99:AX104)*1))*$B$21</f>
        <v>0</v>
      </c>
      <c r="AZ82" s="386" t="n">
        <f aca="false">(SUMPRODUCT($B$49:$B$58,(AZ49:AZ58&gt;AY49:AY58)*1)+SUMPRODUCT($B$61:$B$68,(AZ61:AZ68&gt;AY61:AY68)*1)+SUMPRODUCT($B$71:$B$74,(AZ71:AZ74&gt;AY71:AY74)*1)+SUMPRODUCT($B$77:$B$78,(AZ77:AZ78&gt;AY77:AY78)*1)+SUMPRODUCT($B$99:$B$104,(AZ99:AZ104&gt;AY99:AY104)*1))*$B$21</f>
        <v>0</v>
      </c>
      <c r="BA82" s="386" t="n">
        <f aca="false">(SUMPRODUCT($B$49:$B$58,(BA49:BA58&gt;AZ49:AZ58)*1)+SUMPRODUCT($B$61:$B$68,(BA61:BA68&gt;AZ61:AZ68)*1)+SUMPRODUCT($B$71:$B$74,(BA71:BA74&gt;AZ71:AZ74)*1)+SUMPRODUCT($B$77:$B$78,(BA77:BA78&gt;AZ77:AZ78)*1)+SUMPRODUCT($B$99:$B$104,(BA99:BA104&gt;AZ99:AZ104)*1))*$B$21</f>
        <v>0</v>
      </c>
      <c r="BB82" s="386" t="n">
        <f aca="false">(SUMPRODUCT($B$49:$B$58,(BB49:BB58&gt;BA49:BA58)*1)+SUMPRODUCT($B$61:$B$68,(BB61:BB68&gt;BA61:BA68)*1)+SUMPRODUCT($B$71:$B$74,(BB71:BB74&gt;BA71:BA74)*1)+SUMPRODUCT($B$77:$B$78,(BB77:BB78&gt;BA77:BA78)*1)+SUMPRODUCT($B$99:$B$104,(BB99:BB104&gt;BA99:BA104)*1))*$B$21</f>
        <v>0</v>
      </c>
      <c r="BC82" s="386" t="n">
        <f aca="false">(SUMPRODUCT($B$49:$B$58,(BC49:BC58&gt;BB49:BB58)*1)+SUMPRODUCT($B$61:$B$68,(BC61:BC68&gt;BB61:BB68)*1)+SUMPRODUCT($B$71:$B$74,(BC71:BC74&gt;BB71:BB74)*1)+SUMPRODUCT($B$77:$B$78,(BC77:BC78&gt;BB77:BB78)*1)+SUMPRODUCT($B$99:$B$104,(BC99:BC104&gt;BB99:BB104)*1))*$B$21</f>
        <v>0</v>
      </c>
      <c r="BD82" s="386" t="n">
        <f aca="false">(SUMPRODUCT($B$49:$B$58,(BD49:BD58&gt;BC49:BC58)*1)+SUMPRODUCT($B$61:$B$68,(BD61:BD68&gt;BC61:BC68)*1)+SUMPRODUCT($B$71:$B$74,(BD71:BD74&gt;BC71:BC74)*1)+SUMPRODUCT($B$77:$B$78,(BD77:BD78&gt;BC77:BC78)*1)+SUMPRODUCT($B$99:$B$104,(BD99:BD104&gt;BC99:BC104)*1))*$B$21</f>
        <v>0</v>
      </c>
      <c r="BE82" s="386" t="n">
        <f aca="false">(SUMPRODUCT($B$49:$B$58,(BE49:BE58&gt;BD49:BD58)*1)+SUMPRODUCT($B$61:$B$68,(BE61:BE68&gt;BD61:BD68)*1)+SUMPRODUCT($B$71:$B$74,(BE71:BE74&gt;BD71:BD74)*1)+SUMPRODUCT($B$77:$B$78,(BE77:BE78&gt;BD77:BD78)*1)+SUMPRODUCT($B$99:$B$104,(BE99:BE104&gt;BD99:BD104)*1))*$B$21</f>
        <v>0</v>
      </c>
      <c r="BF82" s="386" t="n">
        <f aca="false">(SUMPRODUCT($B$49:$B$58,(BF49:BF58&gt;BE49:BE58)*1)+SUMPRODUCT($B$61:$B$68,(BF61:BF68&gt;BE61:BE68)*1)+SUMPRODUCT($B$71:$B$74,(BF71:BF74&gt;BE71:BE74)*1)+SUMPRODUCT($B$77:$B$78,(BF77:BF78&gt;BE77:BE78)*1)+SUMPRODUCT($B$99:$B$104,(BF99:BF104&gt;BE99:BE104)*1))*$B$21</f>
        <v>0</v>
      </c>
      <c r="BG82" s="386" t="n">
        <f aca="false">(SUMPRODUCT($B$49:$B$58,(BG49:BG58&gt;BF49:BF58)*1)+SUMPRODUCT($B$61:$B$68,(BG61:BG68&gt;BF61:BF68)*1)+SUMPRODUCT($B$71:$B$74,(BG71:BG74&gt;BF71:BF74)*1)+SUMPRODUCT($B$77:$B$78,(BG77:BG78&gt;BF77:BF78)*1)+SUMPRODUCT($B$99:$B$104,(BG99:BG104&gt;BF99:BF104)*1))*$B$21</f>
        <v>0</v>
      </c>
      <c r="BH82" s="386" t="n">
        <f aca="false">(SUMPRODUCT($B$49:$B$58,(BH49:BH58&gt;BG49:BG58)*1)+SUMPRODUCT($B$61:$B$68,(BH61:BH68&gt;BG61:BG68)*1)+SUMPRODUCT($B$71:$B$74,(BH71:BH74&gt;BG71:BG74)*1)+SUMPRODUCT($B$77:$B$78,(BH77:BH78&gt;BG77:BG78)*1)+SUMPRODUCT($B$99:$B$104,(BH99:BH104&gt;BG99:BG104)*1))*$B$21</f>
        <v>0</v>
      </c>
      <c r="BI82" s="386" t="n">
        <f aca="false">(SUMPRODUCT($B$49:$B$58,(BI49:BI58&gt;BH49:BH58)*1)+SUMPRODUCT($B$61:$B$68,(BI61:BI68&gt;BH61:BH68)*1)+SUMPRODUCT($B$71:$B$74,(BI71:BI74&gt;BH71:BH74)*1)+SUMPRODUCT($B$77:$B$78,(BI77:BI78&gt;BH77:BH78)*1)+SUMPRODUCT($B$99:$B$104,(BI99:BI104&gt;BH99:BH104)*1))*$B$21</f>
        <v>0</v>
      </c>
      <c r="BJ82" s="386" t="n">
        <f aca="false">(SUMPRODUCT($B$49:$B$58,(BJ49:BJ58&gt;BI49:BI58)*1)+SUMPRODUCT($B$61:$B$68,(BJ61:BJ68&gt;BI61:BI68)*1)+SUMPRODUCT($B$71:$B$74,(BJ71:BJ74&gt;BI71:BI74)*1)+SUMPRODUCT($B$77:$B$78,(BJ77:BJ78&gt;BI77:BI78)*1)+SUMPRODUCT($B$99:$B$104,(BJ99:BJ104&gt;BI99:BI104)*1))*$B$21</f>
        <v>0</v>
      </c>
      <c r="BK82" s="386" t="n">
        <f aca="false">(SUMPRODUCT($B$49:$B$58,(BK49:BK58&gt;BJ49:BJ58)*1)+SUMPRODUCT($B$61:$B$68,(BK61:BK68&gt;BJ61:BJ68)*1)+SUMPRODUCT($B$71:$B$74,(BK71:BK74&gt;BJ71:BJ74)*1)+SUMPRODUCT($B$77:$B$78,(BK77:BK78&gt;BJ77:BJ78)*1)+SUMPRODUCT($B$99:$B$104,(BK99:BK104&gt;BJ99:BJ104)*1))*$B$21</f>
        <v>0</v>
      </c>
      <c r="BL82" s="386" t="n">
        <f aca="false">(SUMPRODUCT($B$49:$B$58,(BL49:BL58&gt;BK49:BK58)*1)+SUMPRODUCT($B$61:$B$68,(BL61:BL68&gt;BK61:BK68)*1)+SUMPRODUCT($B$71:$B$74,(BL71:BL74&gt;BK71:BK74)*1)+SUMPRODUCT($B$77:$B$78,(BL77:BL78&gt;BK77:BK78)*1)+SUMPRODUCT($B$99:$B$104,(BL99:BL104&gt;BK99:BK104)*1))*$B$21</f>
        <v>0</v>
      </c>
      <c r="BM82" s="386" t="n">
        <f aca="false">(SUMPRODUCT($B$49:$B$58,(BM49:BM58&gt;BL49:BL58)*1)+SUMPRODUCT($B$61:$B$68,(BM61:BM68&gt;BL61:BL68)*1)+SUMPRODUCT($B$71:$B$74,(BM71:BM74&gt;BL71:BL74)*1)+SUMPRODUCT($B$77:$B$78,(BM77:BM78&gt;BL77:BL78)*1)+SUMPRODUCT($B$99:$B$104,(BM99:BM104&gt;BL99:BL104)*1))*$B$21</f>
        <v>0</v>
      </c>
      <c r="BN82" s="386" t="n">
        <f aca="false">(SUMPRODUCT($B$49:$B$58,(BN49:BN58&gt;BM49:BM58)*1)+SUMPRODUCT($B$61:$B$68,(BN61:BN68&gt;BM61:BM68)*1)+SUMPRODUCT($B$71:$B$74,(BN71:BN74&gt;BM71:BM74)*1)+SUMPRODUCT($B$77:$B$78,(BN77:BN78&gt;BM77:BM78)*1)+SUMPRODUCT($B$99:$B$104,(BN99:BN104&gt;BM99:BM104)*1))*$B$21</f>
        <v>0</v>
      </c>
      <c r="BO82" s="386" t="n">
        <f aca="false">(SUMPRODUCT($B$49:$B$58,(BO49:BO58&gt;BN49:BN58)*1)+SUMPRODUCT($B$61:$B$68,(BO61:BO68&gt;BN61:BN68)*1)+SUMPRODUCT($B$71:$B$74,(BO71:BO74&gt;BN71:BN74)*1)+SUMPRODUCT($B$77:$B$78,(BO77:BO78&gt;BN77:BN78)*1)+SUMPRODUCT($B$99:$B$104,(BO99:BO104&gt;BN99:BN104)*1))*$B$21</f>
        <v>0</v>
      </c>
      <c r="BP82" s="386" t="n">
        <f aca="false">(SUMPRODUCT($B$49:$B$58,(BP49:BP58&gt;BO49:BO58)*1)+SUMPRODUCT($B$61:$B$68,(BP61:BP68&gt;BO61:BO68)*1)+SUMPRODUCT($B$71:$B$74,(BP71:BP74&gt;BO71:BO74)*1)+SUMPRODUCT($B$77:$B$78,(BP77:BP78&gt;BO77:BO78)*1)+SUMPRODUCT($B$99:$B$104,(BP99:BP104&gt;BO99:BO104)*1))*$B$21</f>
        <v>0</v>
      </c>
      <c r="BQ82" s="386" t="n">
        <f aca="false">(SUMPRODUCT($B$49:$B$58,(BQ49:BQ58&gt;BP49:BP58)*1)+SUMPRODUCT($B$61:$B$68,(BQ61:BQ68&gt;BP61:BP68)*1)+SUMPRODUCT($B$71:$B$74,(BQ71:BQ74&gt;BP71:BP74)*1)+SUMPRODUCT($B$77:$B$78,(BQ77:BQ78&gt;BP77:BP78)*1)+SUMPRODUCT($B$99:$B$104,(BQ99:BQ104&gt;BP99:BP104)*1))*$B$21</f>
        <v>0</v>
      </c>
      <c r="BR82" s="386" t="n">
        <f aca="false">(SUMPRODUCT($B$49:$B$58,(BR49:BR58&gt;BQ49:BQ58)*1)+SUMPRODUCT($B$61:$B$68,(BR61:BR68&gt;BQ61:BQ68)*1)+SUMPRODUCT($B$71:$B$74,(BR71:BR74&gt;BQ71:BQ74)*1)+SUMPRODUCT($B$77:$B$78,(BR77:BR78&gt;BQ77:BQ78)*1)+SUMPRODUCT($B$99:$B$104,(BR99:BR104&gt;BQ99:BQ104)*1))*$B$21</f>
        <v>0</v>
      </c>
      <c r="BS82" s="386" t="n">
        <f aca="false">(SUMPRODUCT($B$49:$B$58,(BS49:BS58&gt;BR49:BR58)*1)+SUMPRODUCT($B$61:$B$68,(BS61:BS68&gt;BR61:BR68)*1)+SUMPRODUCT($B$71:$B$74,(BS71:BS74&gt;BR71:BR74)*1)+SUMPRODUCT($B$77:$B$78,(BS77:BS78&gt;BR77:BR78)*1)+SUMPRODUCT($B$99:$B$104,(BS99:BS104&gt;BR99:BR104)*1))*$B$21</f>
        <v>0</v>
      </c>
      <c r="BT82" s="386" t="n">
        <f aca="false">(SUMPRODUCT($B$49:$B$58,(BT49:BT58&gt;BS49:BS58)*1)+SUMPRODUCT($B$61:$B$68,(BT61:BT68&gt;BS61:BS68)*1)+SUMPRODUCT($B$71:$B$74,(BT71:BT74&gt;BS71:BS74)*1)+SUMPRODUCT($B$77:$B$78,(BT77:BT78&gt;BS77:BS78)*1)+SUMPRODUCT($B$99:$B$104,(BT99:BT104&gt;BS99:BS104)*1))*$B$21</f>
        <v>0</v>
      </c>
      <c r="BU82" s="386" t="n">
        <f aca="false">(SUMPRODUCT($B$49:$B$58,(BU49:BU58&gt;BT49:BT58)*1)+SUMPRODUCT($B$61:$B$68,(BU61:BU68&gt;BT61:BT68)*1)+SUMPRODUCT($B$71:$B$74,(BU71:BU74&gt;BT71:BT74)*1)+SUMPRODUCT($B$77:$B$78,(BU77:BU78&gt;BT77:BT78)*1)+SUMPRODUCT($B$99:$B$104,(BU99:BU104&gt;BT99:BT104)*1))*$B$21</f>
        <v>0</v>
      </c>
      <c r="BV82" s="386" t="n">
        <f aca="false">(SUMPRODUCT($B$49:$B$58,(BV49:BV58&gt;BU49:BU58)*1)+SUMPRODUCT($B$61:$B$68,(BV61:BV68&gt;BU61:BU68)*1)+SUMPRODUCT($B$71:$B$74,(BV71:BV74&gt;BU71:BU74)*1)+SUMPRODUCT($B$77:$B$78,(BV77:BV78&gt;BU77:BU78)*1)+SUMPRODUCT($B$99:$B$104,(BV99:BV104&gt;BU99:BU104)*1))*$B$21</f>
        <v>0</v>
      </c>
      <c r="BW82" s="386" t="n">
        <f aca="false">(SUMPRODUCT($B$49:$B$58,(BW49:BW58&gt;BV49:BV58)*1)+SUMPRODUCT($B$61:$B$68,(BW61:BW68&gt;BV61:BV68)*1)+SUMPRODUCT($B$71:$B$74,(BW71:BW74&gt;BV71:BV74)*1)+SUMPRODUCT($B$77:$B$78,(BW77:BW78&gt;BV77:BV78)*1)+SUMPRODUCT($B$99:$B$104,(BW99:BW104&gt;BV99:BV104)*1))*$B$21</f>
        <v>0</v>
      </c>
      <c r="BX82" s="386" t="n">
        <f aca="false">(SUMPRODUCT($B$49:$B$58,(BX49:BX58&gt;BW49:BW58)*1)+SUMPRODUCT($B$61:$B$68,(BX61:BX68&gt;BW61:BW68)*1)+SUMPRODUCT($B$71:$B$74,(BX71:BX74&gt;BW71:BW74)*1)+SUMPRODUCT($B$77:$B$78,(BX77:BX78&gt;BW77:BW78)*1)+SUMPRODUCT($B$99:$B$104,(BX99:BX104&gt;BW99:BW104)*1))*$B$21</f>
        <v>0</v>
      </c>
      <c r="BY82" s="386" t="n">
        <f aca="false">(SUMPRODUCT($B$49:$B$58,(BY49:BY58&gt;BX49:BX58)*1)+SUMPRODUCT($B$61:$B$68,(BY61:BY68&gt;BX61:BX68)*1)+SUMPRODUCT($B$71:$B$74,(BY71:BY74&gt;BX71:BX74)*1)+SUMPRODUCT($B$77:$B$78,(BY77:BY78&gt;BX77:BX78)*1)+SUMPRODUCT($B$99:$B$104,(BY99:BY104&gt;BX99:BX104)*1))*$B$21</f>
        <v>0</v>
      </c>
      <c r="BZ82" s="386" t="n">
        <f aca="false">(SUMPRODUCT($B$49:$B$58,(BZ49:BZ58&gt;BY49:BY58)*1)+SUMPRODUCT($B$61:$B$68,(BZ61:BZ68&gt;BY61:BY68)*1)+SUMPRODUCT($B$71:$B$74,(BZ71:BZ74&gt;BY71:BY74)*1)+SUMPRODUCT($B$77:$B$78,(BZ77:BZ78&gt;BY77:BY78)*1)+SUMPRODUCT($B$99:$B$104,(BZ99:BZ104&gt;BY99:BY104)*1))*$B$21</f>
        <v>0</v>
      </c>
      <c r="CA82" s="386" t="n">
        <f aca="false">(SUMPRODUCT($B$49:$B$58,(CA49:CA58&gt;BZ49:BZ58)*1)+SUMPRODUCT($B$61:$B$68,(CA61:CA68&gt;BZ61:BZ68)*1)+SUMPRODUCT($B$71:$B$74,(CA71:CA74&gt;BZ71:BZ74)*1)+SUMPRODUCT($B$77:$B$78,(CA77:CA78&gt;BZ77:BZ78)*1)+SUMPRODUCT($B$99:$B$104,(CA99:CA104&gt;BZ99:BZ104)*1))*$B$21</f>
        <v>0</v>
      </c>
      <c r="CB82" s="386" t="n">
        <f aca="false">(SUMPRODUCT($B$49:$B$58,(CB49:CB58&gt;CA49:CA58)*1)+SUMPRODUCT($B$61:$B$68,(CB61:CB68&gt;CA61:CA68)*1)+SUMPRODUCT($B$71:$B$74,(CB71:CB74&gt;CA71:CA74)*1)+SUMPRODUCT($B$77:$B$78,(CB77:CB78&gt;CA77:CA78)*1)+SUMPRODUCT($B$99:$B$104,(CB99:CB104&gt;CA99:CA104)*1))*$B$21</f>
        <v>0</v>
      </c>
      <c r="CC82" s="386" t="n">
        <f aca="false">(SUMPRODUCT($B$49:$B$58,(CC49:CC58&gt;CB49:CB58)*1)+SUMPRODUCT($B$61:$B$68,(CC61:CC68&gt;CB61:CB68)*1)+SUMPRODUCT($B$71:$B$74,(CC71:CC74&gt;CB71:CB74)*1)+SUMPRODUCT($B$77:$B$78,(CC77:CC78&gt;CB77:CB78)*1)+SUMPRODUCT($B$99:$B$104,(CC99:CC104&gt;CB99:CB104)*1))*$B$21</f>
        <v>0</v>
      </c>
      <c r="CD82" s="386" t="n">
        <f aca="false">(SUMPRODUCT($B$49:$B$58,(CD49:CD58&gt;CC49:CC58)*1)+SUMPRODUCT($B$61:$B$68,(CD61:CD68&gt;CC61:CC68)*1)+SUMPRODUCT($B$71:$B$74,(CD71:CD74&gt;CC71:CC74)*1)+SUMPRODUCT($B$77:$B$78,(CD77:CD78&gt;CC77:CC78)*1)+SUMPRODUCT($B$99:$B$104,(CD99:CD104&gt;CC99:CC104)*1))*$B$21</f>
        <v>0</v>
      </c>
      <c r="CE82" s="386" t="n">
        <f aca="false">(SUMPRODUCT($B$49:$B$58,(CE49:CE58&gt;CD49:CD58)*1)+SUMPRODUCT($B$61:$B$68,(CE61:CE68&gt;CD61:CD68)*1)+SUMPRODUCT($B$71:$B$74,(CE71:CE74&gt;CD71:CD74)*1)+SUMPRODUCT($B$77:$B$78,(CE77:CE78&gt;CD77:CD78)*1)+SUMPRODUCT($B$99:$B$104,(CE99:CE104&gt;CD99:CD104)*1))*$B$21</f>
        <v>0</v>
      </c>
      <c r="CF82" s="386" t="n">
        <f aca="false">(SUMPRODUCT($B$49:$B$58,(CF49:CF58&gt;CE49:CE58)*1)+SUMPRODUCT($B$61:$B$68,(CF61:CF68&gt;CE61:CE68)*1)+SUMPRODUCT($B$71:$B$74,(CF71:CF74&gt;CE71:CE74)*1)+SUMPRODUCT($B$77:$B$78,(CF77:CF78&gt;CE77:CE78)*1)+SUMPRODUCT($B$99:$B$104,(CF99:CF104&gt;CE99:CE104)*1))*$B$21</f>
        <v>0</v>
      </c>
      <c r="CG82" s="386" t="n">
        <f aca="false">(SUMPRODUCT($B$49:$B$58,(CG49:CG58&gt;CF49:CF58)*1)+SUMPRODUCT($B$61:$B$68,(CG61:CG68&gt;CF61:CF68)*1)+SUMPRODUCT($B$71:$B$74,(CG71:CG74&gt;CF71:CF74)*1)+SUMPRODUCT($B$77:$B$78,(CG77:CG78&gt;CF77:CF78)*1)+SUMPRODUCT($B$99:$B$104,(CG99:CG104&gt;CF99:CF104)*1))*$B$21</f>
        <v>0</v>
      </c>
      <c r="CH82" s="386" t="n">
        <f aca="false">(SUMPRODUCT($B$49:$B$58,(CH49:CH58&gt;CG49:CG58)*1)+SUMPRODUCT($B$61:$B$68,(CH61:CH68&gt;CG61:CG68)*1)+SUMPRODUCT($B$71:$B$74,(CH71:CH74&gt;CG71:CG74)*1)+SUMPRODUCT($B$77:$B$78,(CH77:CH78&gt;CG77:CG78)*1)+SUMPRODUCT($B$99:$B$104,(CH99:CH104&gt;CG99:CG104)*1))*$B$21</f>
        <v>0</v>
      </c>
      <c r="CI82" s="386" t="n">
        <f aca="false">(SUMPRODUCT($B$49:$B$58,(CI49:CI58&gt;CH49:CH58)*1)+SUMPRODUCT($B$61:$B$68,(CI61:CI68&gt;CH61:CH68)*1)+SUMPRODUCT($B$71:$B$74,(CI71:CI74&gt;CH71:CH74)*1)+SUMPRODUCT($B$77:$B$78,(CI77:CI78&gt;CH77:CH78)*1)+SUMPRODUCT($B$99:$B$104,(CI99:CI104&gt;CH99:CH104)*1))*$B$21</f>
        <v>0</v>
      </c>
      <c r="CJ82" s="386" t="n">
        <f aca="false">(SUMPRODUCT($B$49:$B$58,(CJ49:CJ58&gt;CI49:CI58)*1)+SUMPRODUCT($B$61:$B$68,(CJ61:CJ68&gt;CI61:CI68)*1)+SUMPRODUCT($B$71:$B$74,(CJ71:CJ74&gt;CI71:CI74)*1)+SUMPRODUCT($B$77:$B$78,(CJ77:CJ78&gt;CI77:CI78)*1)+SUMPRODUCT($B$99:$B$104,(CJ99:CJ104&gt;CI99:CI104)*1))*$B$21</f>
        <v>0</v>
      </c>
      <c r="CK82" s="386" t="n">
        <f aca="false">(SUMPRODUCT($B$49:$B$58,(CK49:CK58&gt;CJ49:CJ58)*1)+SUMPRODUCT($B$61:$B$68,(CK61:CK68&gt;CJ61:CJ68)*1)+SUMPRODUCT($B$71:$B$74,(CK71:CK74&gt;CJ71:CJ74)*1)+SUMPRODUCT($B$77:$B$78,(CK77:CK78&gt;CJ77:CJ78)*1)+SUMPRODUCT($B$99:$B$104,(CK99:CK104&gt;CJ99:CJ104)*1))*$B$21</f>
        <v>0</v>
      </c>
      <c r="CL82" s="386" t="n">
        <f aca="false">(SUMPRODUCT($B$49:$B$58,(CL49:CL58&gt;CK49:CK58)*1)+SUMPRODUCT($B$61:$B$68,(CL61:CL68&gt;CK61:CK68)*1)+SUMPRODUCT($B$71:$B$74,(CL71:CL74&gt;CK71:CK74)*1)+SUMPRODUCT($B$77:$B$78,(CL77:CL78&gt;CK77:CK78)*1)+SUMPRODUCT($B$99:$B$104,(CL99:CL104&gt;CK99:CK104)*1))*$B$21</f>
        <v>0</v>
      </c>
      <c r="CM82" s="386" t="n">
        <f aca="false">(SUMPRODUCT($B$49:$B$58,(CM49:CM58&gt;CL49:CL58)*1)+SUMPRODUCT($B$61:$B$68,(CM61:CM68&gt;CL61:CL68)*1)+SUMPRODUCT($B$71:$B$74,(CM71:CM74&gt;CL71:CL74)*1)+SUMPRODUCT($B$77:$B$78,(CM77:CM78&gt;CL77:CL78)*1)+SUMPRODUCT($B$99:$B$104,(CM99:CM104&gt;CL99:CL104)*1))*$B$21</f>
        <v>0</v>
      </c>
      <c r="CN82" s="386" t="n">
        <f aca="false">(SUMPRODUCT($B$49:$B$58,(CN49:CN58&gt;CM49:CM58)*1)+SUMPRODUCT($B$61:$B$68,(CN61:CN68&gt;CM61:CM68)*1)+SUMPRODUCT($B$71:$B$74,(CN71:CN74&gt;CM71:CM74)*1)+SUMPRODUCT($B$77:$B$78,(CN77:CN78&gt;CM77:CM78)*1)+SUMPRODUCT($B$99:$B$104,(CN99:CN104&gt;CM99:CM104)*1))*$B$21</f>
        <v>0</v>
      </c>
      <c r="CO82" s="386" t="n">
        <f aca="false">(SUMPRODUCT($B$49:$B$58,(CO49:CO58&gt;CN49:CN58)*1)+SUMPRODUCT($B$61:$B$68,(CO61:CO68&gt;CN61:CN68)*1)+SUMPRODUCT($B$71:$B$74,(CO71:CO74&gt;CN71:CN74)*1)+SUMPRODUCT($B$77:$B$78,(CO77:CO78&gt;CN77:CN78)*1)+SUMPRODUCT($B$99:$B$104,(CO99:CO104&gt;CN99:CN104)*1))*$B$21</f>
        <v>0</v>
      </c>
      <c r="CP82" s="386" t="n">
        <f aca="false">(SUMPRODUCT($B$49:$B$58,(CP49:CP58&gt;CO49:CO58)*1)+SUMPRODUCT($B$61:$B$68,(CP61:CP68&gt;CO61:CO68)*1)+SUMPRODUCT($B$71:$B$74,(CP71:CP74&gt;CO71:CO74)*1)+SUMPRODUCT($B$77:$B$78,(CP77:CP78&gt;CO77:CO78)*1)+SUMPRODUCT($B$99:$B$104,(CP99:CP104&gt;CO99:CO104)*1))*$B$21</f>
        <v>0</v>
      </c>
      <c r="CQ82" s="386" t="n">
        <f aca="false">(SUMPRODUCT($B$49:$B$58,(CQ49:CQ58&gt;CP49:CP58)*1)+SUMPRODUCT($B$61:$B$68,(CQ61:CQ68&gt;CP61:CP68)*1)+SUMPRODUCT($B$71:$B$74,(CQ71:CQ74&gt;CP71:CP74)*1)+SUMPRODUCT($B$77:$B$78,(CQ77:CQ78&gt;CP77:CP78)*1)+SUMPRODUCT($B$99:$B$104,(CQ99:CQ104&gt;CP99:CP104)*1))*$B$21</f>
        <v>0</v>
      </c>
      <c r="CR82" s="386" t="n">
        <f aca="false">(SUMPRODUCT($B$49:$B$58,(CR49:CR58&gt;CQ49:CQ58)*1)+SUMPRODUCT($B$61:$B$68,(CR61:CR68&gt;CQ61:CQ68)*1)+SUMPRODUCT($B$71:$B$74,(CR71:CR74&gt;CQ71:CQ74)*1)+SUMPRODUCT($B$77:$B$78,(CR77:CR78&gt;CQ77:CQ78)*1)+SUMPRODUCT($B$99:$B$104,(CR99:CR104&gt;CQ99:CQ104)*1))*$B$21</f>
        <v>0</v>
      </c>
      <c r="CS82" s="386" t="n">
        <f aca="false">(SUMPRODUCT($B$49:$B$58,(CS49:CS58&gt;CR49:CR58)*1)+SUMPRODUCT($B$61:$B$68,(CS61:CS68&gt;CR61:CR68)*1)+SUMPRODUCT($B$71:$B$74,(CS71:CS74&gt;CR71:CR74)*1)+SUMPRODUCT($B$77:$B$78,(CS77:CS78&gt;CR77:CR78)*1)+SUMPRODUCT($B$99:$B$104,(CS99:CS104&gt;CR99:CR104)*1))*$B$21</f>
        <v>0</v>
      </c>
      <c r="CT82" s="386" t="n">
        <f aca="false">(SUMPRODUCT($B$49:$B$58,(CT49:CT58&gt;CS49:CS58)*1)+SUMPRODUCT($B$61:$B$68,(CT61:CT68&gt;CS61:CS68)*1)+SUMPRODUCT($B$71:$B$74,(CT71:CT74&gt;CS71:CS74)*1)+SUMPRODUCT($B$77:$B$78,(CT77:CT78&gt;CS77:CS78)*1)+SUMPRODUCT($B$99:$B$104,(CT99:CT104&gt;CS99:CS104)*1))*$B$21</f>
        <v>0</v>
      </c>
      <c r="CU82" s="386" t="n">
        <f aca="false">(SUMPRODUCT($B$49:$B$58,(CU49:CU58&gt;CT49:CT58)*1)+SUMPRODUCT($B$61:$B$68,(CU61:CU68&gt;CT61:CT68)*1)+SUMPRODUCT($B$71:$B$74,(CU71:CU74&gt;CT71:CT74)*1)+SUMPRODUCT($B$77:$B$78,(CU77:CU78&gt;CT77:CT78)*1)+SUMPRODUCT($B$99:$B$104,(CU99:CU104&gt;CT99:CT104)*1))*$B$21</f>
        <v>0</v>
      </c>
      <c r="CV82" s="386" t="n">
        <f aca="false">(SUMPRODUCT($B$49:$B$58,(CV49:CV58&gt;CU49:CU58)*1)+SUMPRODUCT($B$61:$B$68,(CV61:CV68&gt;CU61:CU68)*1)+SUMPRODUCT($B$71:$B$74,(CV71:CV74&gt;CU71:CU74)*1)+SUMPRODUCT($B$77:$B$78,(CV77:CV78&gt;CU77:CU78)*1)+SUMPRODUCT($B$99:$B$104,(CV99:CV104&gt;CU99:CU104)*1))*$B$21</f>
        <v>0</v>
      </c>
      <c r="CW82" s="386" t="n">
        <f aca="false">(SUMPRODUCT($B$49:$B$58,(CW49:CW58&gt;CV49:CV58)*1)+SUMPRODUCT($B$61:$B$68,(CW61:CW68&gt;CV61:CV68)*1)+SUMPRODUCT($B$71:$B$74,(CW71:CW74&gt;CV71:CV74)*1)+SUMPRODUCT($B$77:$B$78,(CW77:CW78&gt;CV77:CV78)*1)+SUMPRODUCT($B$99:$B$104,(CW99:CW104&gt;CV99:CV104)*1))*$B$21</f>
        <v>0</v>
      </c>
      <c r="CX82" s="386" t="n">
        <f aca="false">(SUMPRODUCT($B$49:$B$58,(CX49:CX58&gt;CW49:CW58)*1)+SUMPRODUCT($B$61:$B$68,(CX61:CX68&gt;CW61:CW68)*1)+SUMPRODUCT($B$71:$B$74,(CX71:CX74&gt;CW71:CW74)*1)+SUMPRODUCT($B$77:$B$78,(CX77:CX78&gt;CW77:CW78)*1)+SUMPRODUCT($B$99:$B$104,(CX99:CX104&gt;CW99:CW104)*1))*$B$21</f>
        <v>0</v>
      </c>
      <c r="CY82" s="386" t="n">
        <f aca="false">(SUMPRODUCT($B$49:$B$58,(CY49:CY58&gt;CX49:CX58)*1)+SUMPRODUCT($B$61:$B$68,(CY61:CY68&gt;CX61:CX68)*1)+SUMPRODUCT($B$71:$B$74,(CY71:CY74&gt;CX71:CX74)*1)+SUMPRODUCT($B$77:$B$78,(CY77:CY78&gt;CX77:CX78)*1)+SUMPRODUCT($B$99:$B$104,(CY99:CY104&gt;CX99:CX104)*1))*$B$21</f>
        <v>0</v>
      </c>
      <c r="CZ82" s="386" t="n">
        <f aca="false">(SUMPRODUCT($B$49:$B$58,(CZ49:CZ58&gt;CY49:CY58)*1)+SUMPRODUCT($B$61:$B$68,(CZ61:CZ68&gt;CY61:CY68)*1)+SUMPRODUCT($B$71:$B$74,(CZ71:CZ74&gt;CY71:CY74)*1)+SUMPRODUCT($B$77:$B$78,(CZ77:CZ78&gt;CY77:CY78)*1)+SUMPRODUCT($B$99:$B$104,(CZ99:CZ104&gt;CY99:CY104)*1))*$B$21</f>
        <v>0</v>
      </c>
      <c r="DA82" s="386" t="n">
        <f aca="false">(SUMPRODUCT($B$49:$B$58,(DA49:DA58&gt;CZ49:CZ58)*1)+SUMPRODUCT($B$61:$B$68,(DA61:DA68&gt;CZ61:CZ68)*1)+SUMPRODUCT($B$71:$B$74,(DA71:DA74&gt;CZ71:CZ74)*1)+SUMPRODUCT($B$77:$B$78,(DA77:DA78&gt;CZ77:CZ78)*1)+SUMPRODUCT($B$99:$B$104,(DA99:DA104&gt;CZ99:CZ104)*1))*$B$21</f>
        <v>0</v>
      </c>
      <c r="DB82" s="386" t="n">
        <f aca="false">(SUMPRODUCT($B$49:$B$58,(DB49:DB58&gt;DA49:DA58)*1)+SUMPRODUCT($B$61:$B$68,(DB61:DB68&gt;DA61:DA68)*1)+SUMPRODUCT($B$71:$B$74,(DB71:DB74&gt;DA71:DA74)*1)+SUMPRODUCT($B$77:$B$78,(DB77:DB78&gt;DA77:DA78)*1)+SUMPRODUCT($B$99:$B$104,(DB99:DB104&gt;DA99:DA104)*1))*$B$21</f>
        <v>0</v>
      </c>
      <c r="DC82" s="386" t="n">
        <f aca="false">(SUMPRODUCT($B$49:$B$58,(DC49:DC58&gt;DB49:DB58)*1)+SUMPRODUCT($B$61:$B$68,(DC61:DC68&gt;DB61:DB68)*1)+SUMPRODUCT($B$71:$B$74,(DC71:DC74&gt;DB71:DB74)*1)+SUMPRODUCT($B$77:$B$78,(DC77:DC78&gt;DB77:DB78)*1)+SUMPRODUCT($B$99:$B$104,(DC99:DC104&gt;DB99:DB104)*1))*$B$21</f>
        <v>0</v>
      </c>
      <c r="DD82" s="386" t="n">
        <f aca="false">(SUMPRODUCT($B$49:$B$58,(DD49:DD58&gt;DC49:DC58)*1)+SUMPRODUCT($B$61:$B$68,(DD61:DD68&gt;DC61:DC68)*1)+SUMPRODUCT($B$71:$B$74,(DD71:DD74&gt;DC71:DC74)*1)+SUMPRODUCT($B$77:$B$78,(DD77:DD78&gt;DC77:DC78)*1)+SUMPRODUCT($B$99:$B$104,(DD99:DD104&gt;DC99:DC104)*1))*$B$21</f>
        <v>0</v>
      </c>
      <c r="DE82" s="386"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1412</v>
      </c>
      <c r="E83" s="386" t="n">
        <v>0</v>
      </c>
      <c r="F83" s="386" t="n">
        <f aca="false">(SUMPRODUCT($B$49:$B$58,(E49:E58&gt;F49:F58)*1)+SUMPRODUCT($B$61:$B$68,(E61:E68&gt;F61:F68)*1)+SUMPRODUCT($B$71:$B$74,(E71:E74&gt;F71:F74)*1)+SUMPRODUCT($B$77:$B$78,(E77:E78&gt;F77:F78)*1)+SUMPRODUCT($B$99:$B$104,(E99:E104&gt;F99:F104)*1))*$B$20/52</f>
        <v>0</v>
      </c>
      <c r="G83" s="386" t="n">
        <f aca="false">(SUMPRODUCT($B$49:$B$58,(F49:F58&gt;G49:G58)*1)+SUMPRODUCT($B$61:$B$68,(F61:F68&gt;G61:G68)*1)+SUMPRODUCT($B$71:$B$74,(F71:F74&gt;G71:G74)*1)+SUMPRODUCT($B$77:$B$78,(F77:F78&gt;G77:G78)*1)+SUMPRODUCT($B$99:$B$104,(F99:F104&gt;G99:G104)*1))*$B$20/52</f>
        <v>0</v>
      </c>
      <c r="H83" s="386" t="n">
        <f aca="false">(SUMPRODUCT($B$49:$B$58,(G49:G58&gt;H49:H58)*1)+SUMPRODUCT($B$61:$B$68,(G61:G68&gt;H61:H68)*1)+SUMPRODUCT($B$71:$B$74,(G71:G74&gt;H71:H74)*1)+SUMPRODUCT($B$77:$B$78,(G77:G78&gt;H77:H78)*1)+SUMPRODUCT($B$99:$B$104,(G99:G104&gt;H99:H104)*1))*$B$20/52</f>
        <v>0</v>
      </c>
      <c r="I83" s="386" t="n">
        <f aca="false">(SUMPRODUCT($B$49:$B$58,(H49:H58&gt;I49:I58)*1)+SUMPRODUCT($B$61:$B$68,(H61:H68&gt;I61:I68)*1)+SUMPRODUCT($B$71:$B$74,(H71:H74&gt;I71:I74)*1)+SUMPRODUCT($B$77:$B$78,(H77:H78&gt;I77:I78)*1)+SUMPRODUCT($B$99:$B$104,(H99:H104&gt;I99:I104)*1))*$B$20/52</f>
        <v>0</v>
      </c>
      <c r="J83" s="386" t="n">
        <f aca="false">(SUMPRODUCT($B$49:$B$58,(I49:I58&gt;J49:J58)*1)+SUMPRODUCT($B$61:$B$68,(I61:I68&gt;J61:J68)*1)+SUMPRODUCT($B$71:$B$74,(I71:I74&gt;J71:J74)*1)+SUMPRODUCT($B$77:$B$78,(I77:I78&gt;J77:J78)*1)+SUMPRODUCT($B$99:$B$104,(I99:I104&gt;J99:J104)*1))*$B$20/52</f>
        <v>10000</v>
      </c>
      <c r="K83" s="386" t="n">
        <f aca="false">(SUMPRODUCT($B$49:$B$58,(J49:J58&gt;K49:K58)*1)+SUMPRODUCT($B$61:$B$68,(J61:J68&gt;K61:K68)*1)+SUMPRODUCT($B$71:$B$74,(J71:J74&gt;K71:K74)*1)+SUMPRODUCT($B$77:$B$78,(J77:J78&gt;K77:K78)*1)+SUMPRODUCT($B$99:$B$104,(J99:J104&gt;K99:K104)*1))*$B$20/52</f>
        <v>0</v>
      </c>
      <c r="L83" s="386" t="n">
        <f aca="false">(SUMPRODUCT($B$49:$B$58,(K49:K58&gt;L49:L58)*1)+SUMPRODUCT($B$61:$B$68,(K61:K68&gt;L61:L68)*1)+SUMPRODUCT($B$71:$B$74,(K71:K74&gt;L71:L74)*1)+SUMPRODUCT($B$77:$B$78,(K77:K78&gt;L77:L78)*1)+SUMPRODUCT($B$99:$B$104,(K99:K104&gt;L99:L104)*1))*$B$20/52</f>
        <v>0</v>
      </c>
      <c r="M83" s="386" t="n">
        <f aca="false">(SUMPRODUCT($B$49:$B$58,(L49:L58&gt;M49:M58)*1)+SUMPRODUCT($B$61:$B$68,(L61:L68&gt;M61:M68)*1)+SUMPRODUCT($B$71:$B$74,(L71:L74&gt;M71:M74)*1)+SUMPRODUCT($B$77:$B$78,(L77:L78&gt;M77:M78)*1)+SUMPRODUCT($B$99:$B$104,(L99:L104&gt;M99:M104)*1))*$B$20/52</f>
        <v>0</v>
      </c>
      <c r="N83" s="386" t="n">
        <f aca="false">(SUMPRODUCT($B$49:$B$58,(M49:M58&gt;N49:N58)*1)+SUMPRODUCT($B$61:$B$68,(M61:M68&gt;N61:N68)*1)+SUMPRODUCT($B$71:$B$74,(M71:M74&gt;N71:N74)*1)+SUMPRODUCT($B$77:$B$78,(M77:M78&gt;N77:N78)*1)+SUMPRODUCT($B$99:$B$104,(M99:M104&gt;N99:N104)*1))*$B$20/52</f>
        <v>0</v>
      </c>
      <c r="O83" s="386" t="n">
        <f aca="false">(SUMPRODUCT($B$49:$B$58,(N49:N58&gt;O49:O58)*1)+SUMPRODUCT($B$61:$B$68,(N61:N68&gt;O61:O68)*1)+SUMPRODUCT($B$71:$B$74,(N71:N74&gt;O71:O74)*1)+SUMPRODUCT($B$77:$B$78,(N77:N78&gt;O77:O78)*1)+SUMPRODUCT($B$99:$B$104,(N99:N104&gt;O99:O104)*1))*$B$20/52</f>
        <v>0</v>
      </c>
      <c r="P83" s="386" t="n">
        <f aca="false">(SUMPRODUCT($B$49:$B$58,(O49:O58&gt;P49:P58)*1)+SUMPRODUCT($B$61:$B$68,(O61:O68&gt;P61:P68)*1)+SUMPRODUCT($B$71:$B$74,(O71:O74&gt;P71:P74)*1)+SUMPRODUCT($B$77:$B$78,(O77:O78&gt;P77:P78)*1)+SUMPRODUCT($B$99:$B$104,(O99:O104&gt;P99:P104)*1))*$B$20/52</f>
        <v>0</v>
      </c>
      <c r="Q83" s="386" t="n">
        <f aca="false">(SUMPRODUCT($B$49:$B$58,(P49:P58&gt;Q49:Q58)*1)+SUMPRODUCT($B$61:$B$68,(P61:P68&gt;Q61:Q68)*1)+SUMPRODUCT($B$71:$B$74,(P71:P74&gt;Q71:Q74)*1)+SUMPRODUCT($B$77:$B$78,(P77:P78&gt;Q77:Q78)*1)+SUMPRODUCT($B$99:$B$104,(P99:P104&gt;Q99:Q104)*1))*$B$20/52</f>
        <v>0</v>
      </c>
      <c r="R83" s="386" t="n">
        <f aca="false">(SUMPRODUCT($B$49:$B$58,(Q49:Q58&gt;R49:R58)*1)+SUMPRODUCT($B$61:$B$68,(Q61:Q68&gt;R61:R68)*1)+SUMPRODUCT($B$71:$B$74,(Q71:Q74&gt;R71:R74)*1)+SUMPRODUCT($B$77:$B$78,(Q77:Q78&gt;R77:R78)*1)+SUMPRODUCT($B$99:$B$104,(Q99:Q104&gt;R99:R104)*1))*$B$20/52</f>
        <v>0</v>
      </c>
      <c r="S83" s="386" t="n">
        <f aca="false">(SUMPRODUCT($B$49:$B$58,(R49:R58&gt;S49:S58)*1)+SUMPRODUCT($B$61:$B$68,(R61:R68&gt;S61:S68)*1)+SUMPRODUCT($B$71:$B$74,(R71:R74&gt;S71:S74)*1)+SUMPRODUCT($B$77:$B$78,(R77:R78&gt;S77:S78)*1)+SUMPRODUCT($B$99:$B$104,(R99:R104&gt;S99:S104)*1))*$B$20/52</f>
        <v>0</v>
      </c>
      <c r="T83" s="386" t="n">
        <f aca="false">(SUMPRODUCT($B$49:$B$58,(S49:S58&gt;T49:T58)*1)+SUMPRODUCT($B$61:$B$68,(S61:S68&gt;T61:T68)*1)+SUMPRODUCT($B$71:$B$74,(S71:S74&gt;T71:T74)*1)+SUMPRODUCT($B$77:$B$78,(S77:S78&gt;T77:T78)*1)+SUMPRODUCT($B$99:$B$104,(S99:S104&gt;T99:T104)*1))*$B$20/52</f>
        <v>0</v>
      </c>
      <c r="U83" s="386" t="n">
        <f aca="false">(SUMPRODUCT($B$49:$B$58,(T49:T58&gt;U49:U58)*1)+SUMPRODUCT($B$61:$B$68,(T61:T68&gt;U61:U68)*1)+SUMPRODUCT($B$71:$B$74,(T71:T74&gt;U71:U74)*1)+SUMPRODUCT($B$77:$B$78,(T77:T78&gt;U77:U78)*1)+SUMPRODUCT($B$99:$B$104,(T99:T104&gt;U99:U104)*1))*$B$20/52</f>
        <v>0</v>
      </c>
      <c r="V83" s="386" t="n">
        <f aca="false">(SUMPRODUCT($B$49:$B$58,(U49:U58&gt;V49:V58)*1)+SUMPRODUCT($B$61:$B$68,(U61:U68&gt;V61:V68)*1)+SUMPRODUCT($B$71:$B$74,(U71:U74&gt;V71:V74)*1)+SUMPRODUCT($B$77:$B$78,(U77:U78&gt;V77:V78)*1)+SUMPRODUCT($B$99:$B$104,(U99:U104&gt;V99:V104)*1))*$B$20/52</f>
        <v>13846.1538461538</v>
      </c>
      <c r="W83" s="386" t="n">
        <f aca="false">(SUMPRODUCT($B$49:$B$58,(V49:V58&gt;W49:W58)*1)+SUMPRODUCT($B$61:$B$68,(V61:V68&gt;W61:W68)*1)+SUMPRODUCT($B$71:$B$74,(V71:V74&gt;W71:W74)*1)+SUMPRODUCT($B$77:$B$78,(V77:V78&gt;W77:W78)*1)+SUMPRODUCT($B$99:$B$104,(V99:V104&gt;W99:W104)*1))*$B$20/52</f>
        <v>0</v>
      </c>
      <c r="X83" s="386" t="n">
        <f aca="false">(SUMPRODUCT($B$49:$B$58,(W49:W58&gt;X49:X58)*1)+SUMPRODUCT($B$61:$B$68,(W61:W68&gt;X61:X68)*1)+SUMPRODUCT($B$71:$B$74,(W71:W74&gt;X71:X74)*1)+SUMPRODUCT($B$77:$B$78,(W77:W78&gt;X77:X78)*1)+SUMPRODUCT($B$99:$B$104,(W99:W104&gt;X99:X104)*1))*$B$20/52</f>
        <v>0</v>
      </c>
      <c r="Y83" s="386" t="n">
        <f aca="false">(SUMPRODUCT($B$49:$B$58,(X49:X58&gt;Y49:Y58)*1)+SUMPRODUCT($B$61:$B$68,(X61:X68&gt;Y61:Y68)*1)+SUMPRODUCT($B$71:$B$74,(X71:X74&gt;Y71:Y74)*1)+SUMPRODUCT($B$77:$B$78,(X77:X78&gt;Y77:Y78)*1)+SUMPRODUCT($B$99:$B$104,(X99:X104&gt;Y99:Y104)*1))*$B$20/52</f>
        <v>6153.84615384615</v>
      </c>
      <c r="Z83" s="386" t="n">
        <f aca="false">(SUMPRODUCT($B$49:$B$58,(Y49:Y58&gt;Z49:Z58)*1)+SUMPRODUCT($B$61:$B$68,(Y61:Y68&gt;Z61:Z68)*1)+SUMPRODUCT($B$71:$B$74,(Y71:Y74&gt;Z71:Z74)*1)+SUMPRODUCT($B$77:$B$78,(Y77:Y78&gt;Z77:Z78)*1)+SUMPRODUCT($B$99:$B$104,(Y99:Y104&gt;Z99:Z104)*1))*$B$20/52</f>
        <v>31923.0769230769</v>
      </c>
      <c r="AA83" s="386" t="n">
        <f aca="false">(SUMPRODUCT($B$49:$B$58,(Z49:Z58&gt;AA49:AA58)*1)+SUMPRODUCT($B$61:$B$68,(Z61:Z68&gt;AA61:AA68)*1)+SUMPRODUCT($B$71:$B$74,(Z71:Z74&gt;AA71:AA74)*1)+SUMPRODUCT($B$77:$B$78,(Z77:Z78&gt;AA77:AA78)*1)+SUMPRODUCT($B$99:$B$104,(Z99:Z104&gt;AA99:AA104)*1))*$B$20/52</f>
        <v>0</v>
      </c>
      <c r="AB83" s="386" t="n">
        <f aca="false">(SUMPRODUCT($B$49:$B$58,(AA49:AA58&gt;AB49:AB58)*1)+SUMPRODUCT($B$61:$B$68,(AA61:AA68&gt;AB61:AB68)*1)+SUMPRODUCT($B$71:$B$74,(AA71:AA74&gt;AB71:AB74)*1)+SUMPRODUCT($B$77:$B$78,(AA77:AA78&gt;AB77:AB78)*1)+SUMPRODUCT($B$99:$B$104,(AA99:AA104&gt;AB99:AB104)*1))*$B$20/52</f>
        <v>12307.6923076923</v>
      </c>
      <c r="AC83" s="386" t="n">
        <f aca="false">(SUMPRODUCT($B$49:$B$58,(AB49:AB58&gt;AC49:AC58)*1)+SUMPRODUCT($B$61:$B$68,(AB61:AB68&gt;AC61:AC68)*1)+SUMPRODUCT($B$71:$B$74,(AB71:AB74&gt;AC71:AC74)*1)+SUMPRODUCT($B$77:$B$78,(AB77:AB78&gt;AC77:AC78)*1)+SUMPRODUCT($B$99:$B$104,(AB99:AB104&gt;AC99:AC104)*1))*$B$20/52</f>
        <v>21923.0769230769</v>
      </c>
      <c r="AD83" s="386" t="n">
        <f aca="false">(SUMPRODUCT($B$49:$B$58,(AC49:AC58&gt;AD49:AD58)*1)+SUMPRODUCT($B$61:$B$68,(AC61:AC68&gt;AD61:AD68)*1)+SUMPRODUCT($B$71:$B$74,(AC71:AC74&gt;AD71:AD74)*1)+SUMPRODUCT($B$77:$B$78,(AC77:AC78&gt;AD77:AD78)*1)+SUMPRODUCT($B$99:$B$104,(AC99:AC104&gt;AD99:AD104)*1))*$B$20/52</f>
        <v>0</v>
      </c>
      <c r="AE83" s="386" t="n">
        <f aca="false">(SUMPRODUCT($B$49:$B$58,(AD49:AD58&gt;AE49:AE58)*1)+SUMPRODUCT($B$61:$B$68,(AD61:AD68&gt;AE61:AE68)*1)+SUMPRODUCT($B$71:$B$74,(AD71:AD74&gt;AE71:AE74)*1)+SUMPRODUCT($B$77:$B$78,(AD77:AD78&gt;AE77:AE78)*1)+SUMPRODUCT($B$99:$B$104,(AD99:AD104&gt;AE99:AE104)*1))*$B$20/52</f>
        <v>0</v>
      </c>
      <c r="AF83" s="386" t="n">
        <f aca="false">(SUMPRODUCT($B$49:$B$58,(AE49:AE58&gt;AF49:AF58)*1)+SUMPRODUCT($B$61:$B$68,(AE61:AE68&gt;AF61:AF68)*1)+SUMPRODUCT($B$71:$B$74,(AE71:AE74&gt;AF71:AF74)*1)+SUMPRODUCT($B$77:$B$78,(AE77:AE78&gt;AF77:AF78)*1)+SUMPRODUCT($B$99:$B$104,(AE99:AE104&gt;AF99:AF104)*1))*$B$20/52</f>
        <v>0</v>
      </c>
      <c r="AG83" s="386" t="n">
        <f aca="false">(SUMPRODUCT($B$49:$B$58,(AF49:AF58&gt;AG49:AG58)*1)+SUMPRODUCT($B$61:$B$68,(AF61:AF68&gt;AG61:AG68)*1)+SUMPRODUCT($B$71:$B$74,(AF71:AF74&gt;AG71:AG74)*1)+SUMPRODUCT($B$77:$B$78,(AF77:AF78&gt;AG77:AG78)*1)+SUMPRODUCT($B$99:$B$104,(AF99:AF104&gt;AG99:AG104)*1))*$B$20/52</f>
        <v>0</v>
      </c>
      <c r="AH83" s="386" t="n">
        <f aca="false">(SUMPRODUCT($B$49:$B$58,(AG49:AG58&gt;AH49:AH58)*1)+SUMPRODUCT($B$61:$B$68,(AG61:AG68&gt;AH61:AH68)*1)+SUMPRODUCT($B$71:$B$74,(AG71:AG74&gt;AH71:AH74)*1)+SUMPRODUCT($B$77:$B$78,(AG77:AG78&gt;AH77:AH78)*1)+SUMPRODUCT($B$99:$B$104,(AG99:AG104&gt;AH99:AH104)*1))*$B$20/52</f>
        <v>0</v>
      </c>
      <c r="AI83" s="386" t="n">
        <f aca="false">(SUMPRODUCT($B$49:$B$58,(AH49:AH58&gt;AI49:AI58)*1)+SUMPRODUCT($B$61:$B$68,(AH61:AH68&gt;AI61:AI68)*1)+SUMPRODUCT($B$71:$B$74,(AH71:AH74&gt;AI71:AI74)*1)+SUMPRODUCT($B$77:$B$78,(AH77:AH78&gt;AI77:AI78)*1)+SUMPRODUCT($B$99:$B$104,(AH99:AH104&gt;AI99:AI104)*1))*$B$20/52</f>
        <v>0</v>
      </c>
      <c r="AJ83" s="386" t="n">
        <f aca="false">(SUMPRODUCT($B$49:$B$58,(AI49:AI58&gt;AJ49:AJ58)*1)+SUMPRODUCT($B$61:$B$68,(AI61:AI68&gt;AJ61:AJ68)*1)+SUMPRODUCT($B$71:$B$74,(AI71:AI74&gt;AJ71:AJ74)*1)+SUMPRODUCT($B$77:$B$78,(AI77:AI78&gt;AJ77:AJ78)*1)+SUMPRODUCT($B$99:$B$104,(AI99:AI104&gt;AJ99:AJ104)*1))*$B$20/52</f>
        <v>0</v>
      </c>
      <c r="AK83" s="386" t="n">
        <f aca="false">(SUMPRODUCT($B$49:$B$58,(AJ49:AJ58&gt;AK49:AK58)*1)+SUMPRODUCT($B$61:$B$68,(AJ61:AJ68&gt;AK61:AK68)*1)+SUMPRODUCT($B$71:$B$74,(AJ71:AJ74&gt;AK71:AK74)*1)+SUMPRODUCT($B$77:$B$78,(AJ77:AJ78&gt;AK77:AK78)*1)+SUMPRODUCT($B$99:$B$104,(AJ99:AJ104&gt;AK99:AK104)*1))*$B$20/52</f>
        <v>0</v>
      </c>
      <c r="AL83" s="386" t="n">
        <f aca="false">(SUMPRODUCT($B$49:$B$58,(AK49:AK58&gt;AL49:AL58)*1)+SUMPRODUCT($B$61:$B$68,(AK61:AK68&gt;AL61:AL68)*1)+SUMPRODUCT($B$71:$B$74,(AK71:AK74&gt;AL71:AL74)*1)+SUMPRODUCT($B$77:$B$78,(AK77:AK78&gt;AL77:AL78)*1)+SUMPRODUCT($B$99:$B$104,(AK99:AK104&gt;AL99:AL104)*1))*$B$20/52</f>
        <v>0</v>
      </c>
      <c r="AM83" s="386" t="n">
        <f aca="false">(SUMPRODUCT($B$49:$B$58,(AL49:AL58&gt;AM49:AM58)*1)+SUMPRODUCT($B$61:$B$68,(AL61:AL68&gt;AM61:AM68)*1)+SUMPRODUCT($B$71:$B$74,(AL71:AL74&gt;AM71:AM74)*1)+SUMPRODUCT($B$77:$B$78,(AL77:AL78&gt;AM77:AM78)*1)+SUMPRODUCT($B$99:$B$104,(AL99:AL104&gt;AM99:AM104)*1))*$B$20/52</f>
        <v>0</v>
      </c>
      <c r="AN83" s="386" t="n">
        <f aca="false">(SUMPRODUCT($B$49:$B$58,(AM49:AM58&gt;AN49:AN58)*1)+SUMPRODUCT($B$61:$B$68,(AM61:AM68&gt;AN61:AN68)*1)+SUMPRODUCT($B$71:$B$74,(AM71:AM74&gt;AN71:AN74)*1)+SUMPRODUCT($B$77:$B$78,(AM77:AM78&gt;AN77:AN78)*1)+SUMPRODUCT($B$99:$B$104,(AM99:AM104&gt;AN99:AN104)*1))*$B$20/52</f>
        <v>0</v>
      </c>
      <c r="AO83" s="386" t="n">
        <f aca="false">(SUMPRODUCT($B$49:$B$58,(AN49:AN58&gt;AO49:AO58)*1)+SUMPRODUCT($B$61:$B$68,(AN61:AN68&gt;AO61:AO68)*1)+SUMPRODUCT($B$71:$B$74,(AN71:AN74&gt;AO71:AO74)*1)+SUMPRODUCT($B$77:$B$78,(AN77:AN78&gt;AO77:AO78)*1)+SUMPRODUCT($B$99:$B$104,(AN99:AN104&gt;AO99:AO104)*1))*$B$20/52</f>
        <v>0</v>
      </c>
      <c r="AP83" s="386" t="n">
        <f aca="false">(SUMPRODUCT($B$49:$B$58,(AO49:AO58&gt;AP49:AP58)*1)+SUMPRODUCT($B$61:$B$68,(AO61:AO68&gt;AP61:AP68)*1)+SUMPRODUCT($B$71:$B$74,(AO71:AO74&gt;AP71:AP74)*1)+SUMPRODUCT($B$77:$B$78,(AO77:AO78&gt;AP77:AP78)*1)+SUMPRODUCT($B$99:$B$104,(AO99:AO104&gt;AP99:AP104)*1))*$B$20/52</f>
        <v>0</v>
      </c>
      <c r="AQ83" s="386" t="n">
        <f aca="false">(SUMPRODUCT($B$49:$B$58,(AP49:AP58&gt;AQ49:AQ58)*1)+SUMPRODUCT($B$61:$B$68,(AP61:AP68&gt;AQ61:AQ68)*1)+SUMPRODUCT($B$71:$B$74,(AP71:AP74&gt;AQ71:AQ74)*1)+SUMPRODUCT($B$77:$B$78,(AP77:AP78&gt;AQ77:AQ78)*1)+SUMPRODUCT($B$99:$B$104,(AP99:AP104&gt;AQ99:AQ104)*1))*$B$20/52</f>
        <v>0</v>
      </c>
      <c r="AR83" s="386" t="n">
        <f aca="false">(SUMPRODUCT($B$49:$B$58,(AQ49:AQ58&gt;AR49:AR58)*1)+SUMPRODUCT($B$61:$B$68,(AQ61:AQ68&gt;AR61:AR68)*1)+SUMPRODUCT($B$71:$B$74,(AQ71:AQ74&gt;AR71:AR74)*1)+SUMPRODUCT($B$77:$B$78,(AQ77:AQ78&gt;AR77:AR78)*1)+SUMPRODUCT($B$99:$B$104,(AQ99:AQ104&gt;AR99:AR104)*1))*$B$20/52</f>
        <v>0</v>
      </c>
      <c r="AS83" s="386" t="n">
        <f aca="false">(SUMPRODUCT($B$49:$B$58,(AR49:AR58&gt;AS49:AS58)*1)+SUMPRODUCT($B$61:$B$68,(AR61:AR68&gt;AS61:AS68)*1)+SUMPRODUCT($B$71:$B$74,(AR71:AR74&gt;AS71:AS74)*1)+SUMPRODUCT($B$77:$B$78,(AR77:AR78&gt;AS77:AS78)*1)+SUMPRODUCT($B$99:$B$104,(AR99:AR104&gt;AS99:AS104)*1))*$B$20/52</f>
        <v>0</v>
      </c>
      <c r="AT83" s="386" t="n">
        <f aca="false">(SUMPRODUCT($B$49:$B$58,(AS49:AS58&gt;AT49:AT58)*1)+SUMPRODUCT($B$61:$B$68,(AS61:AS68&gt;AT61:AT68)*1)+SUMPRODUCT($B$71:$B$74,(AS71:AS74&gt;AT71:AT74)*1)+SUMPRODUCT($B$77:$B$78,(AS77:AS78&gt;AT77:AT78)*1)+SUMPRODUCT($B$99:$B$104,(AS99:AS104&gt;AT99:AT104)*1))*$B$20/52</f>
        <v>0</v>
      </c>
      <c r="AU83" s="386" t="n">
        <f aca="false">(SUMPRODUCT($B$49:$B$58,(AT49:AT58&gt;AU49:AU58)*1)+SUMPRODUCT($B$61:$B$68,(AT61:AT68&gt;AU61:AU68)*1)+SUMPRODUCT($B$71:$B$74,(AT71:AT74&gt;AU71:AU74)*1)+SUMPRODUCT($B$77:$B$78,(AT77:AT78&gt;AU77:AU78)*1)+SUMPRODUCT($B$99:$B$104,(AT99:AT104&gt;AU99:AU104)*1))*$B$20/52</f>
        <v>0</v>
      </c>
      <c r="AV83" s="386" t="n">
        <f aca="false">(SUMPRODUCT($B$49:$B$58,(AU49:AU58&gt;AV49:AV58)*1)+SUMPRODUCT($B$61:$B$68,(AU61:AU68&gt;AV61:AV68)*1)+SUMPRODUCT($B$71:$B$74,(AU71:AU74&gt;AV71:AV74)*1)+SUMPRODUCT($B$77:$B$78,(AU77:AU78&gt;AV77:AV78)*1)+SUMPRODUCT($B$99:$B$104,(AU99:AU104&gt;AV99:AV104)*1))*$B$20/52</f>
        <v>0</v>
      </c>
      <c r="AW83" s="386" t="n">
        <f aca="false">(SUMPRODUCT($B$49:$B$58,(AV49:AV58&gt;AW49:AW58)*1)+SUMPRODUCT($B$61:$B$68,(AV61:AV68&gt;AW61:AW68)*1)+SUMPRODUCT($B$71:$B$74,(AV71:AV74&gt;AW71:AW74)*1)+SUMPRODUCT($B$77:$B$78,(AV77:AV78&gt;AW77:AW78)*1)+SUMPRODUCT($B$99:$B$104,(AV99:AV104&gt;AW99:AW104)*1))*$B$20/52</f>
        <v>0</v>
      </c>
      <c r="AX83" s="386" t="n">
        <f aca="false">(SUMPRODUCT($B$49:$B$58,(AW49:AW58&gt;AX49:AX58)*1)+SUMPRODUCT($B$61:$B$68,(AW61:AW68&gt;AX61:AX68)*1)+SUMPRODUCT($B$71:$B$74,(AW71:AW74&gt;AX71:AX74)*1)+SUMPRODUCT($B$77:$B$78,(AW77:AW78&gt;AX77:AX78)*1)+SUMPRODUCT($B$99:$B$104,(AW99:AW104&gt;AX99:AX104)*1))*$B$20/52</f>
        <v>0</v>
      </c>
      <c r="AY83" s="386" t="n">
        <f aca="false">(SUMPRODUCT($B$49:$B$58,(AX49:AX58&gt;AY49:AY58)*1)+SUMPRODUCT($B$61:$B$68,(AX61:AX68&gt;AY61:AY68)*1)+SUMPRODUCT($B$71:$B$74,(AX71:AX74&gt;AY71:AY74)*1)+SUMPRODUCT($B$77:$B$78,(AX77:AX78&gt;AY77:AY78)*1)+SUMPRODUCT($B$99:$B$104,(AX99:AX104&gt;AY99:AY104)*1))*$B$20/52</f>
        <v>0</v>
      </c>
      <c r="AZ83" s="386" t="n">
        <f aca="false">(SUMPRODUCT($B$49:$B$58,(AY49:AY58&gt;AZ49:AZ58)*1)+SUMPRODUCT($B$61:$B$68,(AY61:AY68&gt;AZ61:AZ68)*1)+SUMPRODUCT($B$71:$B$74,(AY71:AY74&gt;AZ71:AZ74)*1)+SUMPRODUCT($B$77:$B$78,(AY77:AY78&gt;AZ77:AZ78)*1)+SUMPRODUCT($B$99:$B$104,(AY99:AY104&gt;AZ99:AZ104)*1))*$B$20/52</f>
        <v>0</v>
      </c>
      <c r="BA83" s="386" t="n">
        <f aca="false">(SUMPRODUCT($B$49:$B$58,(AZ49:AZ58&gt;BA49:BA58)*1)+SUMPRODUCT($B$61:$B$68,(AZ61:AZ68&gt;BA61:BA68)*1)+SUMPRODUCT($B$71:$B$74,(AZ71:AZ74&gt;BA71:BA74)*1)+SUMPRODUCT($B$77:$B$78,(AZ77:AZ78&gt;BA77:BA78)*1)+SUMPRODUCT($B$99:$B$104,(AZ99:AZ104&gt;BA99:BA104)*1))*$B$20/52</f>
        <v>0</v>
      </c>
      <c r="BB83" s="386" t="n">
        <f aca="false">(SUMPRODUCT($B$49:$B$58,(BA49:BA58&gt;BB49:BB58)*1)+SUMPRODUCT($B$61:$B$68,(BA61:BA68&gt;BB61:BB68)*1)+SUMPRODUCT($B$71:$B$74,(BA71:BA74&gt;BB71:BB74)*1)+SUMPRODUCT($B$77:$B$78,(BA77:BA78&gt;BB77:BB78)*1)+SUMPRODUCT($B$99:$B$104,(BA99:BA104&gt;BB99:BB104)*1))*$B$20/52</f>
        <v>0</v>
      </c>
      <c r="BC83" s="386" t="n">
        <f aca="false">(SUMPRODUCT($B$49:$B$58,(BB49:BB58&gt;BC49:BC58)*1)+SUMPRODUCT($B$61:$B$68,(BB61:BB68&gt;BC61:BC68)*1)+SUMPRODUCT($B$71:$B$74,(BB71:BB74&gt;BC71:BC74)*1)+SUMPRODUCT($B$77:$B$78,(BB77:BB78&gt;BC77:BC78)*1)+SUMPRODUCT($B$99:$B$104,(BB99:BB104&gt;BC99:BC104)*1))*$B$20/52</f>
        <v>0</v>
      </c>
      <c r="BD83" s="386" t="n">
        <f aca="false">(SUMPRODUCT($B$49:$B$58,(BC49:BC58&gt;BD49:BD58)*1)+SUMPRODUCT($B$61:$B$68,(BC61:BC68&gt;BD61:BD68)*1)+SUMPRODUCT($B$71:$B$74,(BC71:BC74&gt;BD71:BD74)*1)+SUMPRODUCT($B$77:$B$78,(BC77:BC78&gt;BD77:BD78)*1)+SUMPRODUCT($B$99:$B$104,(BC99:BC104&gt;BD99:BD104)*1))*$B$20/52</f>
        <v>0</v>
      </c>
      <c r="BE83" s="386" t="n">
        <f aca="false">(SUMPRODUCT($B$49:$B$58,(BD49:BD58&gt;BE49:BE58)*1)+SUMPRODUCT($B$61:$B$68,(BD61:BD68&gt;BE61:BE68)*1)+SUMPRODUCT($B$71:$B$74,(BD71:BD74&gt;BE71:BE74)*1)+SUMPRODUCT($B$77:$B$78,(BD77:BD78&gt;BE77:BE78)*1)+SUMPRODUCT($B$99:$B$104,(BD99:BD104&gt;BE99:BE104)*1))*$B$20/52</f>
        <v>0</v>
      </c>
      <c r="BF83" s="386" t="n">
        <f aca="false">(SUMPRODUCT($B$49:$B$58,(BE49:BE58&gt;BF49:BF58)*1)+SUMPRODUCT($B$61:$B$68,(BE61:BE68&gt;BF61:BF68)*1)+SUMPRODUCT($B$71:$B$74,(BE71:BE74&gt;BF71:BF74)*1)+SUMPRODUCT($B$77:$B$78,(BE77:BE78&gt;BF77:BF78)*1)+SUMPRODUCT($B$99:$B$104,(BE99:BE104&gt;BF99:BF104)*1))*$B$20/52</f>
        <v>0</v>
      </c>
      <c r="BG83" s="386" t="n">
        <f aca="false">(SUMPRODUCT($B$49:$B$58,(BF49:BF58&gt;BG49:BG58)*1)+SUMPRODUCT($B$61:$B$68,(BF61:BF68&gt;BG61:BG68)*1)+SUMPRODUCT($B$71:$B$74,(BF71:BF74&gt;BG71:BG74)*1)+SUMPRODUCT($B$77:$B$78,(BF77:BF78&gt;BG77:BG78)*1)+SUMPRODUCT($B$99:$B$104,(BF99:BF104&gt;BG99:BG104)*1))*$B$20/52</f>
        <v>0</v>
      </c>
      <c r="BH83" s="386" t="n">
        <f aca="false">(SUMPRODUCT($B$49:$B$58,(BG49:BG58&gt;BH49:BH58)*1)+SUMPRODUCT($B$61:$B$68,(BG61:BG68&gt;BH61:BH68)*1)+SUMPRODUCT($B$71:$B$74,(BG71:BG74&gt;BH71:BH74)*1)+SUMPRODUCT($B$77:$B$78,(BG77:BG78&gt;BH77:BH78)*1)+SUMPRODUCT($B$99:$B$104,(BG99:BG104&gt;BH99:BH104)*1))*$B$20/52</f>
        <v>0</v>
      </c>
      <c r="BI83" s="386" t="n">
        <f aca="false">(SUMPRODUCT($B$49:$B$58,(BH49:BH58&gt;BI49:BI58)*1)+SUMPRODUCT($B$61:$B$68,(BH61:BH68&gt;BI61:BI68)*1)+SUMPRODUCT($B$71:$B$74,(BH71:BH74&gt;BI71:BI74)*1)+SUMPRODUCT($B$77:$B$78,(BH77:BH78&gt;BI77:BI78)*1)+SUMPRODUCT($B$99:$B$104,(BH99:BH104&gt;BI99:BI104)*1))*$B$20/52</f>
        <v>0</v>
      </c>
      <c r="BJ83" s="386" t="n">
        <f aca="false">(SUMPRODUCT($B$49:$B$58,(BI49:BI58&gt;BJ49:BJ58)*1)+SUMPRODUCT($B$61:$B$68,(BI61:BI68&gt;BJ61:BJ68)*1)+SUMPRODUCT($B$71:$B$74,(BI71:BI74&gt;BJ71:BJ74)*1)+SUMPRODUCT($B$77:$B$78,(BI77:BI78&gt;BJ77:BJ78)*1)+SUMPRODUCT($B$99:$B$104,(BI99:BI104&gt;BJ99:BJ104)*1))*$B$20/52</f>
        <v>0</v>
      </c>
      <c r="BK83" s="386" t="n">
        <f aca="false">(SUMPRODUCT($B$49:$B$58,(BJ49:BJ58&gt;BK49:BK58)*1)+SUMPRODUCT($B$61:$B$68,(BJ61:BJ68&gt;BK61:BK68)*1)+SUMPRODUCT($B$71:$B$74,(BJ71:BJ74&gt;BK71:BK74)*1)+SUMPRODUCT($B$77:$B$78,(BJ77:BJ78&gt;BK77:BK78)*1)+SUMPRODUCT($B$99:$B$104,(BJ99:BJ104&gt;BK99:BK104)*1))*$B$20/52</f>
        <v>0</v>
      </c>
      <c r="BL83" s="386" t="n">
        <f aca="false">(SUMPRODUCT($B$49:$B$58,(BK49:BK58&gt;BL49:BL58)*1)+SUMPRODUCT($B$61:$B$68,(BK61:BK68&gt;BL61:BL68)*1)+SUMPRODUCT($B$71:$B$74,(BK71:BK74&gt;BL71:BL74)*1)+SUMPRODUCT($B$77:$B$78,(BK77:BK78&gt;BL77:BL78)*1)+SUMPRODUCT($B$99:$B$104,(BK99:BK104&gt;BL99:BL104)*1))*$B$20/52</f>
        <v>0</v>
      </c>
      <c r="BM83" s="386" t="n">
        <f aca="false">(SUMPRODUCT($B$49:$B$58,(BL49:BL58&gt;BM49:BM58)*1)+SUMPRODUCT($B$61:$B$68,(BL61:BL68&gt;BM61:BM68)*1)+SUMPRODUCT($B$71:$B$74,(BL71:BL74&gt;BM71:BM74)*1)+SUMPRODUCT($B$77:$B$78,(BL77:BL78&gt;BM77:BM78)*1)+SUMPRODUCT($B$99:$B$104,(BL99:BL104&gt;BM99:BM104)*1))*$B$20/52</f>
        <v>0</v>
      </c>
      <c r="BN83" s="386" t="n">
        <f aca="false">(SUMPRODUCT($B$49:$B$58,(BM49:BM58&gt;BN49:BN58)*1)+SUMPRODUCT($B$61:$B$68,(BM61:BM68&gt;BN61:BN68)*1)+SUMPRODUCT($B$71:$B$74,(BM71:BM74&gt;BN71:BN74)*1)+SUMPRODUCT($B$77:$B$78,(BM77:BM78&gt;BN77:BN78)*1)+SUMPRODUCT($B$99:$B$104,(BM99:BM104&gt;BN99:BN104)*1))*$B$20/52</f>
        <v>0</v>
      </c>
      <c r="BO83" s="386" t="n">
        <f aca="false">(SUMPRODUCT($B$49:$B$58,(BN49:BN58&gt;BO49:BO58)*1)+SUMPRODUCT($B$61:$B$68,(BN61:BN68&gt;BO61:BO68)*1)+SUMPRODUCT($B$71:$B$74,(BN71:BN74&gt;BO71:BO74)*1)+SUMPRODUCT($B$77:$B$78,(BN77:BN78&gt;BO77:BO78)*1)+SUMPRODUCT($B$99:$B$104,(BN99:BN104&gt;BO99:BO104)*1))*$B$20/52</f>
        <v>0</v>
      </c>
      <c r="BP83" s="386" t="n">
        <f aca="false">(SUMPRODUCT($B$49:$B$58,(BO49:BO58&gt;BP49:BP58)*1)+SUMPRODUCT($B$61:$B$68,(BO61:BO68&gt;BP61:BP68)*1)+SUMPRODUCT($B$71:$B$74,(BO71:BO74&gt;BP71:BP74)*1)+SUMPRODUCT($B$77:$B$78,(BO77:BO78&gt;BP77:BP78)*1)+SUMPRODUCT($B$99:$B$104,(BO99:BO104&gt;BP99:BP104)*1))*$B$20/52</f>
        <v>0</v>
      </c>
      <c r="BQ83" s="386" t="n">
        <f aca="false">(SUMPRODUCT($B$49:$B$58,(BP49:BP58&gt;BQ49:BQ58)*1)+SUMPRODUCT($B$61:$B$68,(BP61:BP68&gt;BQ61:BQ68)*1)+SUMPRODUCT($B$71:$B$74,(BP71:BP74&gt;BQ71:BQ74)*1)+SUMPRODUCT($B$77:$B$78,(BP77:BP78&gt;BQ77:BQ78)*1)+SUMPRODUCT($B$99:$B$104,(BP99:BP104&gt;BQ99:BQ104)*1))*$B$20/52</f>
        <v>0</v>
      </c>
      <c r="BR83" s="386" t="n">
        <f aca="false">(SUMPRODUCT($B$49:$B$58,(BQ49:BQ58&gt;BR49:BR58)*1)+SUMPRODUCT($B$61:$B$68,(BQ61:BQ68&gt;BR61:BR68)*1)+SUMPRODUCT($B$71:$B$74,(BQ71:BQ74&gt;BR71:BR74)*1)+SUMPRODUCT($B$77:$B$78,(BQ77:BQ78&gt;BR77:BR78)*1)+SUMPRODUCT($B$99:$B$104,(BQ99:BQ104&gt;BR99:BR104)*1))*$B$20/52</f>
        <v>0</v>
      </c>
      <c r="BS83" s="386" t="n">
        <f aca="false">(SUMPRODUCT($B$49:$B$58,(BR49:BR58&gt;BS49:BS58)*1)+SUMPRODUCT($B$61:$B$68,(BR61:BR68&gt;BS61:BS68)*1)+SUMPRODUCT($B$71:$B$74,(BR71:BR74&gt;BS71:BS74)*1)+SUMPRODUCT($B$77:$B$78,(BR77:BR78&gt;BS77:BS78)*1)+SUMPRODUCT($B$99:$B$104,(BR99:BR104&gt;BS99:BS104)*1))*$B$20/52</f>
        <v>0</v>
      </c>
      <c r="BT83" s="386" t="n">
        <f aca="false">(SUMPRODUCT($B$49:$B$58,(BS49:BS58&gt;BT49:BT58)*1)+SUMPRODUCT($B$61:$B$68,(BS61:BS68&gt;BT61:BT68)*1)+SUMPRODUCT($B$71:$B$74,(BS71:BS74&gt;BT71:BT74)*1)+SUMPRODUCT($B$77:$B$78,(BS77:BS78&gt;BT77:BT78)*1)+SUMPRODUCT($B$99:$B$104,(BS99:BS104&gt;BT99:BT104)*1))*$B$20/52</f>
        <v>0</v>
      </c>
      <c r="BU83" s="386" t="n">
        <f aca="false">(SUMPRODUCT($B$49:$B$58,(BT49:BT58&gt;BU49:BU58)*1)+SUMPRODUCT($B$61:$B$68,(BT61:BT68&gt;BU61:BU68)*1)+SUMPRODUCT($B$71:$B$74,(BT71:BT74&gt;BU71:BU74)*1)+SUMPRODUCT($B$77:$B$78,(BT77:BT78&gt;BU77:BU78)*1)+SUMPRODUCT($B$99:$B$104,(BT99:BT104&gt;BU99:BU104)*1))*$B$20/52</f>
        <v>0</v>
      </c>
      <c r="BV83" s="386" t="n">
        <f aca="false">(SUMPRODUCT($B$49:$B$58,(BU49:BU58&gt;BV49:BV58)*1)+SUMPRODUCT($B$61:$B$68,(BU61:BU68&gt;BV61:BV68)*1)+SUMPRODUCT($B$71:$B$74,(BU71:BU74&gt;BV71:BV74)*1)+SUMPRODUCT($B$77:$B$78,(BU77:BU78&gt;BV77:BV78)*1)+SUMPRODUCT($B$99:$B$104,(BU99:BU104&gt;BV99:BV104)*1))*$B$20/52</f>
        <v>0</v>
      </c>
      <c r="BW83" s="386" t="n">
        <f aca="false">(SUMPRODUCT($B$49:$B$58,(BV49:BV58&gt;BW49:BW58)*1)+SUMPRODUCT($B$61:$B$68,(BV61:BV68&gt;BW61:BW68)*1)+SUMPRODUCT($B$71:$B$74,(BV71:BV74&gt;BW71:BW74)*1)+SUMPRODUCT($B$77:$B$78,(BV77:BV78&gt;BW77:BW78)*1)+SUMPRODUCT($B$99:$B$104,(BV99:BV104&gt;BW99:BW104)*1))*$B$20/52</f>
        <v>0</v>
      </c>
      <c r="BX83" s="386" t="n">
        <f aca="false">(SUMPRODUCT($B$49:$B$58,(BW49:BW58&gt;BX49:BX58)*1)+SUMPRODUCT($B$61:$B$68,(BW61:BW68&gt;BX61:BX68)*1)+SUMPRODUCT($B$71:$B$74,(BW71:BW74&gt;BX71:BX74)*1)+SUMPRODUCT($B$77:$B$78,(BW77:BW78&gt;BX77:BX78)*1)+SUMPRODUCT($B$99:$B$104,(BW99:BW104&gt;BX99:BX104)*1))*$B$20/52</f>
        <v>0</v>
      </c>
      <c r="BY83" s="386" t="n">
        <f aca="false">(SUMPRODUCT($B$49:$B$58,(BX49:BX58&gt;BY49:BY58)*1)+SUMPRODUCT($B$61:$B$68,(BX61:BX68&gt;BY61:BY68)*1)+SUMPRODUCT($B$71:$B$74,(BX71:BX74&gt;BY71:BY74)*1)+SUMPRODUCT($B$77:$B$78,(BX77:BX78&gt;BY77:BY78)*1)+SUMPRODUCT($B$99:$B$104,(BX99:BX104&gt;BY99:BY104)*1))*$B$20/52</f>
        <v>0</v>
      </c>
      <c r="BZ83" s="386" t="n">
        <f aca="false">(SUMPRODUCT($B$49:$B$58,(BY49:BY58&gt;BZ49:BZ58)*1)+SUMPRODUCT($B$61:$B$68,(BY61:BY68&gt;BZ61:BZ68)*1)+SUMPRODUCT($B$71:$B$74,(BY71:BY74&gt;BZ71:BZ74)*1)+SUMPRODUCT($B$77:$B$78,(BY77:BY78&gt;BZ77:BZ78)*1)+SUMPRODUCT($B$99:$B$104,(BY99:BY104&gt;BZ99:BZ104)*1))*$B$20/52</f>
        <v>0</v>
      </c>
      <c r="CA83" s="386" t="n">
        <f aca="false">(SUMPRODUCT($B$49:$B$58,(BZ49:BZ58&gt;CA49:CA58)*1)+SUMPRODUCT($B$61:$B$68,(BZ61:BZ68&gt;CA61:CA68)*1)+SUMPRODUCT($B$71:$B$74,(BZ71:BZ74&gt;CA71:CA74)*1)+SUMPRODUCT($B$77:$B$78,(BZ77:BZ78&gt;CA77:CA78)*1)+SUMPRODUCT($B$99:$B$104,(BZ99:BZ104&gt;CA99:CA104)*1))*$B$20/52</f>
        <v>0</v>
      </c>
      <c r="CB83" s="386" t="n">
        <f aca="false">(SUMPRODUCT($B$49:$B$58,(CA49:CA58&gt;CB49:CB58)*1)+SUMPRODUCT($B$61:$B$68,(CA61:CA68&gt;CB61:CB68)*1)+SUMPRODUCT($B$71:$B$74,(CA71:CA74&gt;CB71:CB74)*1)+SUMPRODUCT($B$77:$B$78,(CA77:CA78&gt;CB77:CB78)*1)+SUMPRODUCT($B$99:$B$104,(CA99:CA104&gt;CB99:CB104)*1))*$B$20/52</f>
        <v>0</v>
      </c>
      <c r="CC83" s="386" t="n">
        <f aca="false">(SUMPRODUCT($B$49:$B$58,(CB49:CB58&gt;CC49:CC58)*1)+SUMPRODUCT($B$61:$B$68,(CB61:CB68&gt;CC61:CC68)*1)+SUMPRODUCT($B$71:$B$74,(CB71:CB74&gt;CC71:CC74)*1)+SUMPRODUCT($B$77:$B$78,(CB77:CB78&gt;CC77:CC78)*1)+SUMPRODUCT($B$99:$B$104,(CB99:CB104&gt;CC99:CC104)*1))*$B$20/52</f>
        <v>0</v>
      </c>
      <c r="CD83" s="386" t="n">
        <f aca="false">(SUMPRODUCT($B$49:$B$58,(CC49:CC58&gt;CD49:CD58)*1)+SUMPRODUCT($B$61:$B$68,(CC61:CC68&gt;CD61:CD68)*1)+SUMPRODUCT($B$71:$B$74,(CC71:CC74&gt;CD71:CD74)*1)+SUMPRODUCT($B$77:$B$78,(CC77:CC78&gt;CD77:CD78)*1)+SUMPRODUCT($B$99:$B$104,(CC99:CC104&gt;CD99:CD104)*1))*$B$20/52</f>
        <v>0</v>
      </c>
      <c r="CE83" s="386" t="n">
        <f aca="false">(SUMPRODUCT($B$49:$B$58,(CD49:CD58&gt;CE49:CE58)*1)+SUMPRODUCT($B$61:$B$68,(CD61:CD68&gt;CE61:CE68)*1)+SUMPRODUCT($B$71:$B$74,(CD71:CD74&gt;CE71:CE74)*1)+SUMPRODUCT($B$77:$B$78,(CD77:CD78&gt;CE77:CE78)*1)+SUMPRODUCT($B$99:$B$104,(CD99:CD104&gt;CE99:CE104)*1))*$B$20/52</f>
        <v>0</v>
      </c>
      <c r="CF83" s="386" t="n">
        <f aca="false">(SUMPRODUCT($B$49:$B$58,(CE49:CE58&gt;CF49:CF58)*1)+SUMPRODUCT($B$61:$B$68,(CE61:CE68&gt;CF61:CF68)*1)+SUMPRODUCT($B$71:$B$74,(CE71:CE74&gt;CF71:CF74)*1)+SUMPRODUCT($B$77:$B$78,(CE77:CE78&gt;CF77:CF78)*1)+SUMPRODUCT($B$99:$B$104,(CE99:CE104&gt;CF99:CF104)*1))*$B$20/52</f>
        <v>0</v>
      </c>
      <c r="CG83" s="386" t="n">
        <f aca="false">(SUMPRODUCT($B$49:$B$58,(CF49:CF58&gt;CG49:CG58)*1)+SUMPRODUCT($B$61:$B$68,(CF61:CF68&gt;CG61:CG68)*1)+SUMPRODUCT($B$71:$B$74,(CF71:CF74&gt;CG71:CG74)*1)+SUMPRODUCT($B$77:$B$78,(CF77:CF78&gt;CG77:CG78)*1)+SUMPRODUCT($B$99:$B$104,(CF99:CF104&gt;CG99:CG104)*1))*$B$20/52</f>
        <v>0</v>
      </c>
      <c r="CH83" s="386" t="n">
        <f aca="false">(SUMPRODUCT($B$49:$B$58,(CG49:CG58&gt;CH49:CH58)*1)+SUMPRODUCT($B$61:$B$68,(CG61:CG68&gt;CH61:CH68)*1)+SUMPRODUCT($B$71:$B$74,(CG71:CG74&gt;CH71:CH74)*1)+SUMPRODUCT($B$77:$B$78,(CG77:CG78&gt;CH77:CH78)*1)+SUMPRODUCT($B$99:$B$104,(CG99:CG104&gt;CH99:CH104)*1))*$B$20/52</f>
        <v>0</v>
      </c>
      <c r="CI83" s="386" t="n">
        <f aca="false">(SUMPRODUCT($B$49:$B$58,(CH49:CH58&gt;CI49:CI58)*1)+SUMPRODUCT($B$61:$B$68,(CH61:CH68&gt;CI61:CI68)*1)+SUMPRODUCT($B$71:$B$74,(CH71:CH74&gt;CI71:CI74)*1)+SUMPRODUCT($B$77:$B$78,(CH77:CH78&gt;CI77:CI78)*1)+SUMPRODUCT($B$99:$B$104,(CH99:CH104&gt;CI99:CI104)*1))*$B$20/52</f>
        <v>0</v>
      </c>
      <c r="CJ83" s="386" t="n">
        <f aca="false">(SUMPRODUCT($B$49:$B$58,(CI49:CI58&gt;CJ49:CJ58)*1)+SUMPRODUCT($B$61:$B$68,(CI61:CI68&gt;CJ61:CJ68)*1)+SUMPRODUCT($B$71:$B$74,(CI71:CI74&gt;CJ71:CJ74)*1)+SUMPRODUCT($B$77:$B$78,(CI77:CI78&gt;CJ77:CJ78)*1)+SUMPRODUCT($B$99:$B$104,(CI99:CI104&gt;CJ99:CJ104)*1))*$B$20/52</f>
        <v>0</v>
      </c>
      <c r="CK83" s="386" t="n">
        <f aca="false">(SUMPRODUCT($B$49:$B$58,(CJ49:CJ58&gt;CK49:CK58)*1)+SUMPRODUCT($B$61:$B$68,(CJ61:CJ68&gt;CK61:CK68)*1)+SUMPRODUCT($B$71:$B$74,(CJ71:CJ74&gt;CK71:CK74)*1)+SUMPRODUCT($B$77:$B$78,(CJ77:CJ78&gt;CK77:CK78)*1)+SUMPRODUCT($B$99:$B$104,(CJ99:CJ104&gt;CK99:CK104)*1))*$B$20/52</f>
        <v>0</v>
      </c>
      <c r="CL83" s="386" t="n">
        <f aca="false">(SUMPRODUCT($B$49:$B$58,(CK49:CK58&gt;CL49:CL58)*1)+SUMPRODUCT($B$61:$B$68,(CK61:CK68&gt;CL61:CL68)*1)+SUMPRODUCT($B$71:$B$74,(CK71:CK74&gt;CL71:CL74)*1)+SUMPRODUCT($B$77:$B$78,(CK77:CK78&gt;CL77:CL78)*1)+SUMPRODUCT($B$99:$B$104,(CK99:CK104&gt;CL99:CL104)*1))*$B$20/52</f>
        <v>0</v>
      </c>
      <c r="CM83" s="386" t="n">
        <f aca="false">(SUMPRODUCT($B$49:$B$58,(CL49:CL58&gt;CM49:CM58)*1)+SUMPRODUCT($B$61:$B$68,(CL61:CL68&gt;CM61:CM68)*1)+SUMPRODUCT($B$71:$B$74,(CL71:CL74&gt;CM71:CM74)*1)+SUMPRODUCT($B$77:$B$78,(CL77:CL78&gt;CM77:CM78)*1)+SUMPRODUCT($B$99:$B$104,(CL99:CL104&gt;CM99:CM104)*1))*$B$20/52</f>
        <v>0</v>
      </c>
      <c r="CN83" s="386" t="n">
        <f aca="false">(SUMPRODUCT($B$49:$B$58,(CM49:CM58&gt;CN49:CN58)*1)+SUMPRODUCT($B$61:$B$68,(CM61:CM68&gt;CN61:CN68)*1)+SUMPRODUCT($B$71:$B$74,(CM71:CM74&gt;CN71:CN74)*1)+SUMPRODUCT($B$77:$B$78,(CM77:CM78&gt;CN77:CN78)*1)+SUMPRODUCT($B$99:$B$104,(CM99:CM104&gt;CN99:CN104)*1))*$B$20/52</f>
        <v>0</v>
      </c>
      <c r="CO83" s="386" t="n">
        <f aca="false">(SUMPRODUCT($B$49:$B$58,(CN49:CN58&gt;CO49:CO58)*1)+SUMPRODUCT($B$61:$B$68,(CN61:CN68&gt;CO61:CO68)*1)+SUMPRODUCT($B$71:$B$74,(CN71:CN74&gt;CO71:CO74)*1)+SUMPRODUCT($B$77:$B$78,(CN77:CN78&gt;CO77:CO78)*1)+SUMPRODUCT($B$99:$B$104,(CN99:CN104&gt;CO99:CO104)*1))*$B$20/52</f>
        <v>0</v>
      </c>
      <c r="CP83" s="386" t="n">
        <f aca="false">(SUMPRODUCT($B$49:$B$58,(CO49:CO58&gt;CP49:CP58)*1)+SUMPRODUCT($B$61:$B$68,(CO61:CO68&gt;CP61:CP68)*1)+SUMPRODUCT($B$71:$B$74,(CO71:CO74&gt;CP71:CP74)*1)+SUMPRODUCT($B$77:$B$78,(CO77:CO78&gt;CP77:CP78)*1)+SUMPRODUCT($B$99:$B$104,(CO99:CO104&gt;CP99:CP104)*1))*$B$20/52</f>
        <v>0</v>
      </c>
      <c r="CQ83" s="386" t="n">
        <f aca="false">(SUMPRODUCT($B$49:$B$58,(CP49:CP58&gt;CQ49:CQ58)*1)+SUMPRODUCT($B$61:$B$68,(CP61:CP68&gt;CQ61:CQ68)*1)+SUMPRODUCT($B$71:$B$74,(CP71:CP74&gt;CQ71:CQ74)*1)+SUMPRODUCT($B$77:$B$78,(CP77:CP78&gt;CQ77:CQ78)*1)+SUMPRODUCT($B$99:$B$104,(CP99:CP104&gt;CQ99:CQ104)*1))*$B$20/52</f>
        <v>0</v>
      </c>
      <c r="CR83" s="386" t="n">
        <f aca="false">(SUMPRODUCT($B$49:$B$58,(CQ49:CQ58&gt;CR49:CR58)*1)+SUMPRODUCT($B$61:$B$68,(CQ61:CQ68&gt;CR61:CR68)*1)+SUMPRODUCT($B$71:$B$74,(CQ71:CQ74&gt;CR71:CR74)*1)+SUMPRODUCT($B$77:$B$78,(CQ77:CQ78&gt;CR77:CR78)*1)+SUMPRODUCT($B$99:$B$104,(CQ99:CQ104&gt;CR99:CR104)*1))*$B$20/52</f>
        <v>0</v>
      </c>
      <c r="CS83" s="386" t="n">
        <f aca="false">(SUMPRODUCT($B$49:$B$58,(CR49:CR58&gt;CS49:CS58)*1)+SUMPRODUCT($B$61:$B$68,(CR61:CR68&gt;CS61:CS68)*1)+SUMPRODUCT($B$71:$B$74,(CR71:CR74&gt;CS71:CS74)*1)+SUMPRODUCT($B$77:$B$78,(CR77:CR78&gt;CS77:CS78)*1)+SUMPRODUCT($B$99:$B$104,(CR99:CR104&gt;CS99:CS104)*1))*$B$20/52</f>
        <v>0</v>
      </c>
      <c r="CT83" s="386" t="n">
        <f aca="false">(SUMPRODUCT($B$49:$B$58,(CS49:CS58&gt;CT49:CT58)*1)+SUMPRODUCT($B$61:$B$68,(CS61:CS68&gt;CT61:CT68)*1)+SUMPRODUCT($B$71:$B$74,(CS71:CS74&gt;CT71:CT74)*1)+SUMPRODUCT($B$77:$B$78,(CS77:CS78&gt;CT77:CT78)*1)+SUMPRODUCT($B$99:$B$104,(CS99:CS104&gt;CT99:CT104)*1))*$B$20/52</f>
        <v>0</v>
      </c>
      <c r="CU83" s="386" t="n">
        <f aca="false">(SUMPRODUCT($B$49:$B$58,(CT49:CT58&gt;CU49:CU58)*1)+SUMPRODUCT($B$61:$B$68,(CT61:CT68&gt;CU61:CU68)*1)+SUMPRODUCT($B$71:$B$74,(CT71:CT74&gt;CU71:CU74)*1)+SUMPRODUCT($B$77:$B$78,(CT77:CT78&gt;CU77:CU78)*1)+SUMPRODUCT($B$99:$B$104,(CT99:CT104&gt;CU99:CU104)*1))*$B$20/52</f>
        <v>0</v>
      </c>
      <c r="CV83" s="386" t="n">
        <f aca="false">(SUMPRODUCT($B$49:$B$58,(CU49:CU58&gt;CV49:CV58)*1)+SUMPRODUCT($B$61:$B$68,(CU61:CU68&gt;CV61:CV68)*1)+SUMPRODUCT($B$71:$B$74,(CU71:CU74&gt;CV71:CV74)*1)+SUMPRODUCT($B$77:$B$78,(CU77:CU78&gt;CV77:CV78)*1)+SUMPRODUCT($B$99:$B$104,(CU99:CU104&gt;CV99:CV104)*1))*$B$20/52</f>
        <v>0</v>
      </c>
      <c r="CW83" s="386" t="n">
        <f aca="false">(SUMPRODUCT($B$49:$B$58,(CV49:CV58&gt;CW49:CW58)*1)+SUMPRODUCT($B$61:$B$68,(CV61:CV68&gt;CW61:CW68)*1)+SUMPRODUCT($B$71:$B$74,(CV71:CV74&gt;CW71:CW74)*1)+SUMPRODUCT($B$77:$B$78,(CV77:CV78&gt;CW77:CW78)*1)+SUMPRODUCT($B$99:$B$104,(CV99:CV104&gt;CW99:CW104)*1))*$B$20/52</f>
        <v>0</v>
      </c>
      <c r="CX83" s="386" t="n">
        <f aca="false">(SUMPRODUCT($B$49:$B$58,(CW49:CW58&gt;CX49:CX58)*1)+SUMPRODUCT($B$61:$B$68,(CW61:CW68&gt;CX61:CX68)*1)+SUMPRODUCT($B$71:$B$74,(CW71:CW74&gt;CX71:CX74)*1)+SUMPRODUCT($B$77:$B$78,(CW77:CW78&gt;CX77:CX78)*1)+SUMPRODUCT($B$99:$B$104,(CW99:CW104&gt;CX99:CX104)*1))*$B$20/52</f>
        <v>0</v>
      </c>
      <c r="CY83" s="386" t="n">
        <f aca="false">(SUMPRODUCT($B$49:$B$58,(CX49:CX58&gt;CY49:CY58)*1)+SUMPRODUCT($B$61:$B$68,(CX61:CX68&gt;CY61:CY68)*1)+SUMPRODUCT($B$71:$B$74,(CX71:CX74&gt;CY71:CY74)*1)+SUMPRODUCT($B$77:$B$78,(CX77:CX78&gt;CY77:CY78)*1)+SUMPRODUCT($B$99:$B$104,(CX99:CX104&gt;CY99:CY104)*1))*$B$20/52</f>
        <v>0</v>
      </c>
      <c r="CZ83" s="386" t="n">
        <f aca="false">(SUMPRODUCT($B$49:$B$58,(CY49:CY58&gt;CZ49:CZ58)*1)+SUMPRODUCT($B$61:$B$68,(CY61:CY68&gt;CZ61:CZ68)*1)+SUMPRODUCT($B$71:$B$74,(CY71:CY74&gt;CZ71:CZ74)*1)+SUMPRODUCT($B$77:$B$78,(CY77:CY78&gt;CZ77:CZ78)*1)+SUMPRODUCT($B$99:$B$104,(CY99:CY104&gt;CZ99:CZ104)*1))*$B$20/52</f>
        <v>0</v>
      </c>
      <c r="DA83" s="386" t="n">
        <f aca="false">(SUMPRODUCT($B$49:$B$58,(CZ49:CZ58&gt;DA49:DA58)*1)+SUMPRODUCT($B$61:$B$68,(CZ61:CZ68&gt;DA61:DA68)*1)+SUMPRODUCT($B$71:$B$74,(CZ71:CZ74&gt;DA71:DA74)*1)+SUMPRODUCT($B$77:$B$78,(CZ77:CZ78&gt;DA77:DA78)*1)+SUMPRODUCT($B$99:$B$104,(CZ99:CZ104&gt;DA99:DA104)*1))*$B$20/52</f>
        <v>0</v>
      </c>
      <c r="DB83" s="386" t="n">
        <f aca="false">(SUMPRODUCT($B$49:$B$58,(DA49:DA58&gt;DB49:DB58)*1)+SUMPRODUCT($B$61:$B$68,(DA61:DA68&gt;DB61:DB68)*1)+SUMPRODUCT($B$71:$B$74,(DA71:DA74&gt;DB71:DB74)*1)+SUMPRODUCT($B$77:$B$78,(DA77:DA78&gt;DB77:DB78)*1)+SUMPRODUCT($B$99:$B$104,(DA99:DA104&gt;DB99:DB104)*1))*$B$20/52</f>
        <v>0</v>
      </c>
      <c r="DC83" s="386" t="n">
        <f aca="false">(SUMPRODUCT($B$49:$B$58,(DB49:DB58&gt;DC49:DC58)*1)+SUMPRODUCT($B$61:$B$68,(DB61:DB68&gt;DC61:DC68)*1)+SUMPRODUCT($B$71:$B$74,(DB71:DB74&gt;DC71:DC74)*1)+SUMPRODUCT($B$77:$B$78,(DB77:DB78&gt;DC77:DC78)*1)+SUMPRODUCT($B$99:$B$104,(DB99:DB104&gt;DC99:DC104)*1))*$B$20/52</f>
        <v>0</v>
      </c>
      <c r="DD83" s="386" t="n">
        <f aca="false">(SUMPRODUCT($B$49:$B$58,(DC49:DC58&gt;DD49:DD58)*1)+SUMPRODUCT($B$61:$B$68,(DC61:DC68&gt;DD61:DD68)*1)+SUMPRODUCT($B$71:$B$74,(DC71:DC74&gt;DD71:DD74)*1)+SUMPRODUCT($B$77:$B$78,(DC77:DC78&gt;DD77:DD78)*1)+SUMPRODUCT($B$99:$B$104,(DC99:DC104&gt;DD99:DD104)*1))*$B$20/52</f>
        <v>0</v>
      </c>
      <c r="DE83" s="386"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1413</v>
      </c>
      <c r="E84" s="386" t="n">
        <f aca="false">E82+E83</f>
        <v>0</v>
      </c>
      <c r="F84" s="386" t="n">
        <f aca="false">F82+F83</f>
        <v>0</v>
      </c>
      <c r="G84" s="386" t="n">
        <f aca="false">G82+G83</f>
        <v>0</v>
      </c>
      <c r="H84" s="386" t="n">
        <f aca="false">H82+H83</f>
        <v>0</v>
      </c>
      <c r="I84" s="386" t="n">
        <f aca="false">I82+I83</f>
        <v>19500</v>
      </c>
      <c r="J84" s="386" t="n">
        <f aca="false">J82+J83</f>
        <v>10000</v>
      </c>
      <c r="K84" s="386" t="n">
        <f aca="false">K82+K83</f>
        <v>0</v>
      </c>
      <c r="L84" s="386" t="n">
        <f aca="false">L82+L83</f>
        <v>0</v>
      </c>
      <c r="M84" s="386" t="n">
        <f aca="false">M82+M83</f>
        <v>42750</v>
      </c>
      <c r="N84" s="386" t="n">
        <f aca="false">N82+N83</f>
        <v>43500</v>
      </c>
      <c r="O84" s="386" t="n">
        <f aca="false">O82+O83</f>
        <v>81750</v>
      </c>
      <c r="P84" s="386" t="n">
        <f aca="false">P82+P83</f>
        <v>0</v>
      </c>
      <c r="Q84" s="386" t="n">
        <f aca="false">Q82+Q83</f>
        <v>0</v>
      </c>
      <c r="R84" s="386" t="n">
        <f aca="false">R82+R83</f>
        <v>0</v>
      </c>
      <c r="S84" s="386" t="n">
        <f aca="false">S82+S83</f>
        <v>0</v>
      </c>
      <c r="T84" s="386" t="n">
        <f aca="false">T82+T83</f>
        <v>0</v>
      </c>
      <c r="U84" s="386" t="n">
        <f aca="false">U82+U83</f>
        <v>0</v>
      </c>
      <c r="V84" s="386" t="n">
        <f aca="false">V82+V83</f>
        <v>13846.1538461538</v>
      </c>
      <c r="W84" s="386" t="n">
        <f aca="false">W82+W83</f>
        <v>0</v>
      </c>
      <c r="X84" s="386" t="n">
        <f aca="false">X82+X83</f>
        <v>0</v>
      </c>
      <c r="Y84" s="386" t="n">
        <f aca="false">Y82+Y83</f>
        <v>6153.84615384615</v>
      </c>
      <c r="Z84" s="386" t="n">
        <f aca="false">Z82+Z83</f>
        <v>31923.0769230769</v>
      </c>
      <c r="AA84" s="386" t="n">
        <f aca="false">AA82+AA83</f>
        <v>0</v>
      </c>
      <c r="AB84" s="386" t="n">
        <f aca="false">AB82+AB83</f>
        <v>12307.6923076923</v>
      </c>
      <c r="AC84" s="386" t="n">
        <f aca="false">AC82+AC83</f>
        <v>21923.0769230769</v>
      </c>
      <c r="AD84" s="386" t="n">
        <f aca="false">AD82+AD83</f>
        <v>0</v>
      </c>
      <c r="AE84" s="386" t="n">
        <f aca="false">AE82+AE83</f>
        <v>0</v>
      </c>
      <c r="AF84" s="386" t="n">
        <f aca="false">AF82+AF83</f>
        <v>0</v>
      </c>
      <c r="AG84" s="386" t="n">
        <f aca="false">AG82+AG83</f>
        <v>0</v>
      </c>
      <c r="AH84" s="386" t="n">
        <f aca="false">AH82+AH83</f>
        <v>0</v>
      </c>
      <c r="AI84" s="386" t="n">
        <f aca="false">AI82+AI83</f>
        <v>0</v>
      </c>
      <c r="AJ84" s="386" t="n">
        <f aca="false">AJ82+AJ83</f>
        <v>0</v>
      </c>
      <c r="AK84" s="386" t="n">
        <f aca="false">AK82+AK83</f>
        <v>0</v>
      </c>
      <c r="AL84" s="386" t="n">
        <f aca="false">AL82+AL83</f>
        <v>0</v>
      </c>
      <c r="AM84" s="386" t="n">
        <f aca="false">AM82+AM83</f>
        <v>0</v>
      </c>
      <c r="AN84" s="386" t="n">
        <f aca="false">AN82+AN83</f>
        <v>0</v>
      </c>
      <c r="AO84" s="386" t="n">
        <f aca="false">AO82+AO83</f>
        <v>0</v>
      </c>
      <c r="AP84" s="386" t="n">
        <f aca="false">AP82+AP83</f>
        <v>0</v>
      </c>
      <c r="AQ84" s="386" t="n">
        <f aca="false">AQ82+AQ83</f>
        <v>0</v>
      </c>
      <c r="AR84" s="386" t="n">
        <f aca="false">AR82+AR83</f>
        <v>0</v>
      </c>
      <c r="AS84" s="386" t="n">
        <f aca="false">AS82+AS83</f>
        <v>0</v>
      </c>
      <c r="AT84" s="386" t="n">
        <f aca="false">AT82+AT83</f>
        <v>0</v>
      </c>
      <c r="AU84" s="386" t="n">
        <f aca="false">AU82+AU83</f>
        <v>0</v>
      </c>
      <c r="AV84" s="386" t="n">
        <f aca="false">AV82+AV83</f>
        <v>0</v>
      </c>
      <c r="AW84" s="386" t="n">
        <f aca="false">AW82+AW83</f>
        <v>0</v>
      </c>
      <c r="AX84" s="386" t="n">
        <f aca="false">AX82+AX83</f>
        <v>0</v>
      </c>
      <c r="AY84" s="386" t="n">
        <f aca="false">AY82+AY83</f>
        <v>0</v>
      </c>
      <c r="AZ84" s="386" t="n">
        <f aca="false">AZ82+AZ83</f>
        <v>0</v>
      </c>
      <c r="BA84" s="386" t="n">
        <f aca="false">BA82+BA83</f>
        <v>0</v>
      </c>
      <c r="BB84" s="386" t="n">
        <f aca="false">BB82+BB83</f>
        <v>0</v>
      </c>
      <c r="BC84" s="386" t="n">
        <f aca="false">BC82+BC83</f>
        <v>0</v>
      </c>
      <c r="BD84" s="386" t="n">
        <f aca="false">BD82+BD83</f>
        <v>0</v>
      </c>
      <c r="BE84" s="386" t="n">
        <f aca="false">BE82+BE83</f>
        <v>0</v>
      </c>
      <c r="BF84" s="386" t="n">
        <f aca="false">BF82+BF83</f>
        <v>0</v>
      </c>
      <c r="BG84" s="386" t="n">
        <f aca="false">BG82+BG83</f>
        <v>0</v>
      </c>
      <c r="BH84" s="386" t="n">
        <f aca="false">BH82+BH83</f>
        <v>0</v>
      </c>
      <c r="BI84" s="386" t="n">
        <f aca="false">BI82+BI83</f>
        <v>0</v>
      </c>
      <c r="BJ84" s="386" t="n">
        <f aca="false">BJ82+BJ83</f>
        <v>0</v>
      </c>
      <c r="BK84" s="386" t="n">
        <f aca="false">BK82+BK83</f>
        <v>0</v>
      </c>
      <c r="BL84" s="386" t="n">
        <f aca="false">BL82+BL83</f>
        <v>0</v>
      </c>
      <c r="BM84" s="386" t="n">
        <f aca="false">BM82+BM83</f>
        <v>0</v>
      </c>
      <c r="BN84" s="386" t="n">
        <f aca="false">BN82+BN83</f>
        <v>0</v>
      </c>
      <c r="BO84" s="386" t="n">
        <f aca="false">BO82+BO83</f>
        <v>0</v>
      </c>
      <c r="BP84" s="386" t="n">
        <f aca="false">BP82+BP83</f>
        <v>0</v>
      </c>
      <c r="BQ84" s="386" t="n">
        <f aca="false">BQ82+BQ83</f>
        <v>0</v>
      </c>
      <c r="BR84" s="386" t="n">
        <f aca="false">BR82+BR83</f>
        <v>0</v>
      </c>
      <c r="BS84" s="386" t="n">
        <f aca="false">BS82+BS83</f>
        <v>0</v>
      </c>
      <c r="BT84" s="386" t="n">
        <f aca="false">BT82+BT83</f>
        <v>0</v>
      </c>
      <c r="BU84" s="386" t="n">
        <f aca="false">BU82+BU83</f>
        <v>0</v>
      </c>
      <c r="BV84" s="386" t="n">
        <f aca="false">BV82+BV83</f>
        <v>0</v>
      </c>
      <c r="BW84" s="386" t="n">
        <f aca="false">BW82+BW83</f>
        <v>0</v>
      </c>
      <c r="BX84" s="386" t="n">
        <f aca="false">BX82+BX83</f>
        <v>0</v>
      </c>
      <c r="BY84" s="386" t="n">
        <f aca="false">BY82+BY83</f>
        <v>0</v>
      </c>
      <c r="BZ84" s="386" t="n">
        <f aca="false">BZ82+BZ83</f>
        <v>0</v>
      </c>
      <c r="CA84" s="386" t="n">
        <f aca="false">CA82+CA83</f>
        <v>0</v>
      </c>
      <c r="CB84" s="386" t="n">
        <f aca="false">CB82+CB83</f>
        <v>0</v>
      </c>
      <c r="CC84" s="386" t="n">
        <f aca="false">CC82+CC83</f>
        <v>0</v>
      </c>
      <c r="CD84" s="386" t="n">
        <f aca="false">CD82+CD83</f>
        <v>0</v>
      </c>
      <c r="CE84" s="386" t="n">
        <f aca="false">CE82+CE83</f>
        <v>0</v>
      </c>
      <c r="CF84" s="386" t="n">
        <f aca="false">CF82+CF83</f>
        <v>0</v>
      </c>
      <c r="CG84" s="386" t="n">
        <f aca="false">CG82+CG83</f>
        <v>0</v>
      </c>
      <c r="CH84" s="386" t="n">
        <f aca="false">CH82+CH83</f>
        <v>0</v>
      </c>
      <c r="CI84" s="386" t="n">
        <f aca="false">CI82+CI83</f>
        <v>0</v>
      </c>
      <c r="CJ84" s="386" t="n">
        <f aca="false">CJ82+CJ83</f>
        <v>0</v>
      </c>
      <c r="CK84" s="386" t="n">
        <f aca="false">CK82+CK83</f>
        <v>0</v>
      </c>
      <c r="CL84" s="386" t="n">
        <f aca="false">CL82+CL83</f>
        <v>0</v>
      </c>
      <c r="CM84" s="386" t="n">
        <f aca="false">CM82+CM83</f>
        <v>0</v>
      </c>
      <c r="CN84" s="386" t="n">
        <f aca="false">CN82+CN83</f>
        <v>0</v>
      </c>
      <c r="CO84" s="386" t="n">
        <f aca="false">CO82+CO83</f>
        <v>0</v>
      </c>
      <c r="CP84" s="386" t="n">
        <f aca="false">CP82+CP83</f>
        <v>0</v>
      </c>
      <c r="CQ84" s="386" t="n">
        <f aca="false">CQ82+CQ83</f>
        <v>0</v>
      </c>
      <c r="CR84" s="386" t="n">
        <f aca="false">CR82+CR83</f>
        <v>0</v>
      </c>
      <c r="CS84" s="386" t="n">
        <f aca="false">CS82+CS83</f>
        <v>0</v>
      </c>
      <c r="CT84" s="386" t="n">
        <f aca="false">CT82+CT83</f>
        <v>0</v>
      </c>
      <c r="CU84" s="386" t="n">
        <f aca="false">CU82+CU83</f>
        <v>0</v>
      </c>
      <c r="CV84" s="386" t="n">
        <f aca="false">CV82+CV83</f>
        <v>0</v>
      </c>
      <c r="CW84" s="386" t="n">
        <f aca="false">CW82+CW83</f>
        <v>0</v>
      </c>
      <c r="CX84" s="386" t="n">
        <f aca="false">CX82+CX83</f>
        <v>0</v>
      </c>
      <c r="CY84" s="386" t="n">
        <f aca="false">CY82+CY83</f>
        <v>0</v>
      </c>
      <c r="CZ84" s="386" t="n">
        <f aca="false">CZ82+CZ83</f>
        <v>0</v>
      </c>
      <c r="DA84" s="386" t="n">
        <f aca="false">DA82+DA83</f>
        <v>0</v>
      </c>
      <c r="DB84" s="386" t="n">
        <f aca="false">DB82+DB83</f>
        <v>0</v>
      </c>
      <c r="DC84" s="386" t="n">
        <f aca="false">DC82+DC83</f>
        <v>0</v>
      </c>
      <c r="DD84" s="386" t="n">
        <f aca="false">DD82+DD83</f>
        <v>0</v>
      </c>
      <c r="DE84" s="386" t="n">
        <f aca="false">DE82+DE83</f>
        <v>0</v>
      </c>
    </row>
    <row r="86" customFormat="false" ht="13.5" hidden="false" customHeight="true" outlineLevel="0" collapsed="false">
      <c r="A86" s="211" t="s">
        <v>1414</v>
      </c>
      <c r="B86" s="212"/>
      <c r="C86" s="212"/>
      <c r="D86" s="212"/>
      <c r="E86" s="212"/>
      <c r="F86" s="212"/>
    </row>
    <row r="87" customFormat="false" ht="13.5" hidden="false" customHeight="true" outlineLevel="0" collapsed="false">
      <c r="A87" s="110" t="s">
        <v>1415</v>
      </c>
      <c r="E87" s="384" t="n">
        <f aca="false">E43+SUM(E49:E58)</f>
        <v>4</v>
      </c>
      <c r="F87" s="384" t="n">
        <f aca="false">F43+SUM(F49:F58)</f>
        <v>5</v>
      </c>
      <c r="G87" s="384" t="n">
        <f aca="false">G43+SUM(G49:G58)</f>
        <v>5</v>
      </c>
      <c r="H87" s="384" t="n">
        <f aca="false">H43+SUM(H49:H58)</f>
        <v>6</v>
      </c>
      <c r="I87" s="384" t="n">
        <f aca="false">I43+SUM(I49:I58)</f>
        <v>6</v>
      </c>
      <c r="J87" s="384" t="n">
        <f aca="false">J43+SUM(J49:J58)</f>
        <v>7</v>
      </c>
      <c r="K87" s="384" t="n">
        <f aca="false">K43+SUM(K49:K58)</f>
        <v>7</v>
      </c>
      <c r="L87" s="384" t="n">
        <f aca="false">L43+SUM(L49:L58)</f>
        <v>7</v>
      </c>
      <c r="M87" s="384" t="n">
        <f aca="false">M43+SUM(M49:M58)</f>
        <v>8</v>
      </c>
      <c r="N87" s="384" t="n">
        <f aca="false">N43+SUM(N49:N58)</f>
        <v>9</v>
      </c>
      <c r="O87" s="384" t="n">
        <f aca="false">O43+SUM(O49:O58)</f>
        <v>10</v>
      </c>
      <c r="P87" s="384" t="n">
        <f aca="false">P43+SUM(P49:P58)</f>
        <v>10</v>
      </c>
      <c r="Q87" s="384" t="n">
        <f aca="false">Q43+SUM(Q49:Q58)</f>
        <v>10</v>
      </c>
      <c r="R87" s="384" t="n">
        <f aca="false">R43+SUM(R49:R58)</f>
        <v>10</v>
      </c>
      <c r="S87" s="384" t="n">
        <f aca="false">S43+SUM(S49:S58)</f>
        <v>10</v>
      </c>
      <c r="T87" s="384" t="n">
        <f aca="false">T43+SUM(T49:T58)</f>
        <v>10</v>
      </c>
      <c r="U87" s="384" t="n">
        <f aca="false">U43+SUM(U49:U58)</f>
        <v>10</v>
      </c>
      <c r="V87" s="384" t="n">
        <f aca="false">V43+SUM(V49:V58)</f>
        <v>10</v>
      </c>
      <c r="W87" s="384" t="n">
        <f aca="false">W43+SUM(W49:W58)</f>
        <v>10</v>
      </c>
      <c r="X87" s="384" t="n">
        <f aca="false">X43+SUM(X49:X58)</f>
        <v>10</v>
      </c>
      <c r="Y87" s="384" t="n">
        <f aca="false">Y43+SUM(Y49:Y58)</f>
        <v>10</v>
      </c>
      <c r="Z87" s="384" t="n">
        <f aca="false">Z43+SUM(Z49:Z58)</f>
        <v>9</v>
      </c>
      <c r="AA87" s="384" t="n">
        <f aca="false">AA43+SUM(AA49:AA58)</f>
        <v>9</v>
      </c>
      <c r="AB87" s="384" t="n">
        <f aca="false">AB43+SUM(AB49:AB58)</f>
        <v>8</v>
      </c>
      <c r="AC87" s="384" t="n">
        <f aca="false">AC43+SUM(AC49:AC58)</f>
        <v>7</v>
      </c>
      <c r="AD87" s="384" t="n">
        <f aca="false">AD43+SUM(AD49:AD58)</f>
        <v>7</v>
      </c>
      <c r="AE87" s="384" t="n">
        <f aca="false">AE43+SUM(AE49:AE58)</f>
        <v>7</v>
      </c>
      <c r="AF87" s="384" t="n">
        <f aca="false">AF43+SUM(AF49:AF58)</f>
        <v>7</v>
      </c>
      <c r="AG87" s="384" t="n">
        <f aca="false">AG43+SUM(AG49:AG58)</f>
        <v>7</v>
      </c>
      <c r="AH87" s="384" t="n">
        <f aca="false">AH43+SUM(AH49:AH58)</f>
        <v>7</v>
      </c>
      <c r="AI87" s="384" t="n">
        <f aca="false">AI43+SUM(AI49:AI58)</f>
        <v>7</v>
      </c>
      <c r="AJ87" s="384" t="n">
        <f aca="false">AJ43+SUM(AJ49:AJ58)</f>
        <v>7</v>
      </c>
      <c r="AK87" s="384" t="n">
        <f aca="false">AK43+SUM(AK49:AK58)</f>
        <v>7</v>
      </c>
      <c r="AL87" s="384" t="n">
        <f aca="false">AL43+SUM(AL49:AL58)</f>
        <v>7</v>
      </c>
      <c r="AM87" s="384" t="n">
        <f aca="false">AM43+SUM(AM49:AM58)</f>
        <v>7</v>
      </c>
      <c r="AN87" s="384" t="n">
        <f aca="false">AN43+SUM(AN49:AN58)</f>
        <v>7</v>
      </c>
      <c r="AO87" s="384" t="n">
        <f aca="false">AO43+SUM(AO49:AO58)</f>
        <v>7</v>
      </c>
      <c r="AP87" s="384" t="n">
        <f aca="false">AP43+SUM(AP49:AP58)</f>
        <v>7</v>
      </c>
      <c r="AQ87" s="384" t="n">
        <f aca="false">AQ43+SUM(AQ49:AQ58)</f>
        <v>7</v>
      </c>
      <c r="AR87" s="384" t="n">
        <f aca="false">AR43+SUM(AR49:AR58)</f>
        <v>7</v>
      </c>
      <c r="AS87" s="384" t="n">
        <f aca="false">AS43+SUM(AS49:AS58)</f>
        <v>7</v>
      </c>
      <c r="AT87" s="384" t="n">
        <f aca="false">AT43+SUM(AT49:AT58)</f>
        <v>7</v>
      </c>
      <c r="AU87" s="384" t="n">
        <f aca="false">AU43+SUM(AU49:AU58)</f>
        <v>7</v>
      </c>
      <c r="AV87" s="384" t="n">
        <f aca="false">AV43+SUM(AV49:AV58)</f>
        <v>7</v>
      </c>
      <c r="AW87" s="384" t="n">
        <f aca="false">AW43+SUM(AW49:AW58)</f>
        <v>7</v>
      </c>
      <c r="AX87" s="384" t="n">
        <f aca="false">AX43+SUM(AX49:AX58)</f>
        <v>7</v>
      </c>
      <c r="AY87" s="384" t="n">
        <f aca="false">AY43+SUM(AY49:AY58)</f>
        <v>7</v>
      </c>
      <c r="AZ87" s="384" t="n">
        <f aca="false">AZ43+SUM(AZ49:AZ58)</f>
        <v>7</v>
      </c>
      <c r="BA87" s="384" t="n">
        <f aca="false">BA43+SUM(BA49:BA58)</f>
        <v>7</v>
      </c>
      <c r="BB87" s="384" t="n">
        <f aca="false">BB43+SUM(BB49:BB58)</f>
        <v>7</v>
      </c>
      <c r="BC87" s="384" t="n">
        <f aca="false">BC43+SUM(BC49:BC58)</f>
        <v>7</v>
      </c>
      <c r="BD87" s="384" t="n">
        <f aca="false">BD43+SUM(BD49:BD58)</f>
        <v>7</v>
      </c>
      <c r="BE87" s="384" t="n">
        <f aca="false">BE43+SUM(BE49:BE58)</f>
        <v>7</v>
      </c>
      <c r="BF87" s="384" t="n">
        <f aca="false">BF43+SUM(BF49:BF58)</f>
        <v>7</v>
      </c>
      <c r="BG87" s="384" t="n">
        <f aca="false">BG43+SUM(BG49:BG58)</f>
        <v>7</v>
      </c>
      <c r="BH87" s="384" t="n">
        <f aca="false">BH43+SUM(BH49:BH58)</f>
        <v>7</v>
      </c>
      <c r="BI87" s="384" t="n">
        <f aca="false">BI43+SUM(BI49:BI58)</f>
        <v>7</v>
      </c>
      <c r="BJ87" s="384" t="n">
        <f aca="false">BJ43+SUM(BJ49:BJ58)</f>
        <v>7</v>
      </c>
      <c r="BK87" s="384" t="n">
        <f aca="false">BK43+SUM(BK49:BK58)</f>
        <v>7</v>
      </c>
      <c r="BL87" s="384" t="n">
        <f aca="false">BL43+SUM(BL49:BL58)</f>
        <v>7</v>
      </c>
      <c r="BM87" s="384" t="n">
        <f aca="false">BM43+SUM(BM49:BM58)</f>
        <v>7</v>
      </c>
      <c r="BN87" s="384" t="n">
        <f aca="false">BN43+SUM(BN49:BN58)</f>
        <v>7</v>
      </c>
      <c r="BO87" s="384" t="n">
        <f aca="false">BO43+SUM(BO49:BO58)</f>
        <v>7</v>
      </c>
      <c r="BP87" s="384" t="n">
        <f aca="false">BP43+SUM(BP49:BP58)</f>
        <v>7</v>
      </c>
      <c r="BQ87" s="384" t="n">
        <f aca="false">BQ43+SUM(BQ49:BQ58)</f>
        <v>7</v>
      </c>
      <c r="BR87" s="384" t="n">
        <f aca="false">BR43+SUM(BR49:BR58)</f>
        <v>7</v>
      </c>
      <c r="BS87" s="384" t="n">
        <f aca="false">BS43+SUM(BS49:BS58)</f>
        <v>7</v>
      </c>
      <c r="BT87" s="384" t="n">
        <f aca="false">BT43+SUM(BT49:BT58)</f>
        <v>7</v>
      </c>
      <c r="BU87" s="384" t="n">
        <f aca="false">BU43+SUM(BU49:BU58)</f>
        <v>7</v>
      </c>
      <c r="BV87" s="384" t="n">
        <f aca="false">BV43+SUM(BV49:BV58)</f>
        <v>7</v>
      </c>
      <c r="BW87" s="384" t="n">
        <f aca="false">BW43+SUM(BW49:BW58)</f>
        <v>7</v>
      </c>
      <c r="BX87" s="384" t="n">
        <f aca="false">BX43+SUM(BX49:BX58)</f>
        <v>7</v>
      </c>
      <c r="BY87" s="384" t="n">
        <f aca="false">BY43+SUM(BY49:BY58)</f>
        <v>7</v>
      </c>
      <c r="BZ87" s="384" t="n">
        <f aca="false">BZ43+SUM(BZ49:BZ58)</f>
        <v>7</v>
      </c>
      <c r="CA87" s="384" t="n">
        <f aca="false">CA43+SUM(CA49:CA58)</f>
        <v>7</v>
      </c>
      <c r="CB87" s="384" t="n">
        <f aca="false">CB43+SUM(CB49:CB58)</f>
        <v>7</v>
      </c>
      <c r="CC87" s="384" t="n">
        <f aca="false">CC43+SUM(CC49:CC58)</f>
        <v>7</v>
      </c>
      <c r="CD87" s="384" t="n">
        <f aca="false">CD43+SUM(CD49:CD58)</f>
        <v>7</v>
      </c>
      <c r="CE87" s="384" t="n">
        <f aca="false">CE43+SUM(CE49:CE58)</f>
        <v>7</v>
      </c>
      <c r="CF87" s="384" t="n">
        <f aca="false">CF43+SUM(CF49:CF58)</f>
        <v>7</v>
      </c>
      <c r="CG87" s="384" t="n">
        <f aca="false">CG43+SUM(CG49:CG58)</f>
        <v>7</v>
      </c>
      <c r="CH87" s="384" t="n">
        <f aca="false">CH43+SUM(CH49:CH58)</f>
        <v>7</v>
      </c>
      <c r="CI87" s="384" t="n">
        <f aca="false">CI43+SUM(CI49:CI58)</f>
        <v>7</v>
      </c>
      <c r="CJ87" s="384" t="n">
        <f aca="false">CJ43+SUM(CJ49:CJ58)</f>
        <v>7</v>
      </c>
      <c r="CK87" s="384" t="n">
        <f aca="false">CK43+SUM(CK49:CK58)</f>
        <v>7</v>
      </c>
      <c r="CL87" s="384" t="n">
        <f aca="false">CL43+SUM(CL49:CL58)</f>
        <v>7</v>
      </c>
      <c r="CM87" s="384" t="n">
        <f aca="false">CM43+SUM(CM49:CM58)</f>
        <v>7</v>
      </c>
      <c r="CN87" s="384" t="n">
        <f aca="false">CN43+SUM(CN49:CN58)</f>
        <v>7</v>
      </c>
      <c r="CO87" s="384" t="n">
        <f aca="false">CO43+SUM(CO49:CO58)</f>
        <v>7</v>
      </c>
      <c r="CP87" s="384" t="n">
        <f aca="false">CP43+SUM(CP49:CP58)</f>
        <v>7</v>
      </c>
      <c r="CQ87" s="384" t="n">
        <f aca="false">CQ43+SUM(CQ49:CQ58)</f>
        <v>7</v>
      </c>
      <c r="CR87" s="384" t="n">
        <f aca="false">CR43+SUM(CR49:CR58)</f>
        <v>7</v>
      </c>
      <c r="CS87" s="384" t="n">
        <f aca="false">CS43+SUM(CS49:CS58)</f>
        <v>7</v>
      </c>
      <c r="CT87" s="384" t="n">
        <f aca="false">CT43+SUM(CT49:CT58)</f>
        <v>7</v>
      </c>
      <c r="CU87" s="384" t="n">
        <f aca="false">CU43+SUM(CU49:CU58)</f>
        <v>7</v>
      </c>
      <c r="CV87" s="384" t="n">
        <f aca="false">CV43+SUM(CV49:CV58)</f>
        <v>7</v>
      </c>
      <c r="CW87" s="384" t="n">
        <f aca="false">CW43+SUM(CW49:CW58)</f>
        <v>7</v>
      </c>
      <c r="CX87" s="384" t="n">
        <f aca="false">CX43+SUM(CX49:CX58)</f>
        <v>7</v>
      </c>
      <c r="CY87" s="384" t="n">
        <f aca="false">CY43+SUM(CY49:CY58)</f>
        <v>7</v>
      </c>
      <c r="CZ87" s="384" t="n">
        <f aca="false">CZ43+SUM(CZ49:CZ58)</f>
        <v>7</v>
      </c>
      <c r="DA87" s="384" t="n">
        <f aca="false">DA43+SUM(DA49:DA58)</f>
        <v>7</v>
      </c>
      <c r="DB87" s="384" t="n">
        <f aca="false">DB43+SUM(DB49:DB58)</f>
        <v>7</v>
      </c>
      <c r="DC87" s="384" t="n">
        <f aca="false">DC43+SUM(DC49:DC58)</f>
        <v>7</v>
      </c>
      <c r="DD87" s="384" t="n">
        <f aca="false">DD43+SUM(DD49:DD58)</f>
        <v>7</v>
      </c>
      <c r="DE87" s="384" t="n">
        <f aca="false">DE43+SUM(DE49:DE58)</f>
        <v>7</v>
      </c>
    </row>
    <row r="88" customFormat="false" ht="13.5" hidden="false" customHeight="true" outlineLevel="0" collapsed="false">
      <c r="A88" s="110" t="s">
        <v>1416</v>
      </c>
      <c r="E88" s="384" t="n">
        <f aca="false">E37-E87</f>
        <v>1</v>
      </c>
      <c r="F88" s="384" t="n">
        <f aca="false">F37-F87</f>
        <v>0</v>
      </c>
      <c r="G88" s="384" t="n">
        <f aca="false">G37-G87</f>
        <v>0</v>
      </c>
      <c r="H88" s="384" t="n">
        <f aca="false">H37-H87</f>
        <v>-1</v>
      </c>
      <c r="I88" s="384" t="n">
        <f aca="false">I37-I87</f>
        <v>1</v>
      </c>
      <c r="J88" s="384" t="n">
        <f aca="false">J37-J87</f>
        <v>1</v>
      </c>
      <c r="K88" s="384" t="n">
        <f aca="false">K37-K87</f>
        <v>1</v>
      </c>
      <c r="L88" s="384" t="n">
        <f aca="false">L37-L87</f>
        <v>1</v>
      </c>
      <c r="M88" s="384" t="n">
        <f aca="false">M37-M87</f>
        <v>0</v>
      </c>
      <c r="N88" s="384" t="n">
        <f aca="false">N37-N87</f>
        <v>1</v>
      </c>
      <c r="O88" s="384" t="n">
        <f aca="false">O37-O87</f>
        <v>1</v>
      </c>
      <c r="P88" s="384" t="n">
        <f aca="false">P37-P87</f>
        <v>1</v>
      </c>
      <c r="Q88" s="384" t="n">
        <f aca="false">Q37-Q87</f>
        <v>1</v>
      </c>
      <c r="R88" s="384" t="n">
        <f aca="false">R37-R87</f>
        <v>1</v>
      </c>
      <c r="S88" s="384" t="n">
        <f aca="false">S37-S87</f>
        <v>1</v>
      </c>
      <c r="T88" s="384" t="n">
        <f aca="false">T37-T87</f>
        <v>0</v>
      </c>
      <c r="U88" s="384" t="n">
        <f aca="false">U37-U87</f>
        <v>0</v>
      </c>
      <c r="V88" s="384" t="n">
        <f aca="false">V37-V87</f>
        <v>-1</v>
      </c>
      <c r="W88" s="384" t="n">
        <f aca="false">W37-W87</f>
        <v>-2</v>
      </c>
      <c r="X88" s="384" t="n">
        <f aca="false">X37-X87</f>
        <v>-3</v>
      </c>
      <c r="Y88" s="384" t="n">
        <f aca="false">Y37-Y87</f>
        <v>-3</v>
      </c>
      <c r="Z88" s="384" t="n">
        <f aca="false">Z37-Z87</f>
        <v>-2</v>
      </c>
      <c r="AA88" s="384" t="n">
        <f aca="false">AA37-AA87</f>
        <v>-2</v>
      </c>
      <c r="AB88" s="384" t="n">
        <f aca="false">AB37-AB87</f>
        <v>-2</v>
      </c>
      <c r="AC88" s="384" t="n">
        <f aca="false">AC37-AC87</f>
        <v>-2</v>
      </c>
      <c r="AD88" s="384" t="n">
        <f aca="false">AD37-AD87</f>
        <v>-2</v>
      </c>
      <c r="AE88" s="384" t="n">
        <f aca="false">AE37-AE87</f>
        <v>-2</v>
      </c>
      <c r="AF88" s="384" t="n">
        <f aca="false">AF37-AF87</f>
        <v>-2</v>
      </c>
      <c r="AG88" s="384" t="n">
        <f aca="false">AG37-AG87</f>
        <v>-4</v>
      </c>
      <c r="AH88" s="384" t="n">
        <f aca="false">AH37-AH87</f>
        <v>-5</v>
      </c>
      <c r="AI88" s="384" t="n">
        <f aca="false">AI37-AI87</f>
        <v>-5</v>
      </c>
      <c r="AJ88" s="384" t="n">
        <f aca="false">AJ37-AJ87</f>
        <v>-5</v>
      </c>
      <c r="AK88" s="384" t="n">
        <f aca="false">AK37-AK87</f>
        <v>-6</v>
      </c>
      <c r="AL88" s="384" t="n">
        <f aca="false">AL37-AL87</f>
        <v>-6</v>
      </c>
      <c r="AM88" s="384" t="n">
        <f aca="false">AM37-AM87</f>
        <v>-6</v>
      </c>
      <c r="AN88" s="384" t="n">
        <f aca="false">AN37-AN87</f>
        <v>-6</v>
      </c>
      <c r="AO88" s="384" t="n">
        <f aca="false">AO37-AO87</f>
        <v>-7</v>
      </c>
      <c r="AP88" s="384" t="n">
        <f aca="false">AP37-AP87</f>
        <v>-7</v>
      </c>
      <c r="AQ88" s="384" t="n">
        <f aca="false">AQ37-AQ87</f>
        <v>-7</v>
      </c>
      <c r="AR88" s="384" t="n">
        <f aca="false">AR37-AR87</f>
        <v>-7</v>
      </c>
      <c r="AS88" s="384" t="n">
        <f aca="false">AS37-AS87</f>
        <v>-7</v>
      </c>
      <c r="AT88" s="384" t="n">
        <f aca="false">AT37-AT87</f>
        <v>-7</v>
      </c>
      <c r="AU88" s="384" t="n">
        <f aca="false">AU37-AU87</f>
        <v>-7</v>
      </c>
      <c r="AV88" s="384" t="n">
        <f aca="false">AV37-AV87</f>
        <v>-7</v>
      </c>
      <c r="AW88" s="384" t="n">
        <f aca="false">AW37-AW87</f>
        <v>-7</v>
      </c>
      <c r="AX88" s="384" t="n">
        <f aca="false">AX37-AX87</f>
        <v>-7</v>
      </c>
      <c r="AY88" s="384" t="n">
        <f aca="false">AY37-AY87</f>
        <v>-7</v>
      </c>
      <c r="AZ88" s="384" t="n">
        <f aca="false">AZ37-AZ87</f>
        <v>-7</v>
      </c>
      <c r="BA88" s="384" t="n">
        <f aca="false">BA37-BA87</f>
        <v>-7</v>
      </c>
      <c r="BB88" s="384" t="n">
        <f aca="false">BB37-BB87</f>
        <v>-7</v>
      </c>
      <c r="BC88" s="384" t="n">
        <f aca="false">BC37-BC87</f>
        <v>-7</v>
      </c>
      <c r="BD88" s="384" t="n">
        <f aca="false">BD37-BD87</f>
        <v>-7</v>
      </c>
      <c r="BE88" s="384" t="n">
        <f aca="false">BE37-BE87</f>
        <v>-7</v>
      </c>
      <c r="BF88" s="384" t="n">
        <f aca="false">BF37-BF87</f>
        <v>-7</v>
      </c>
      <c r="BG88" s="384" t="n">
        <f aca="false">BG37-BG87</f>
        <v>-7</v>
      </c>
      <c r="BH88" s="384" t="n">
        <f aca="false">BH37-BH87</f>
        <v>-7</v>
      </c>
      <c r="BI88" s="384" t="n">
        <f aca="false">BI37-BI87</f>
        <v>-7</v>
      </c>
      <c r="BJ88" s="384" t="n">
        <f aca="false">BJ37-BJ87</f>
        <v>-7</v>
      </c>
      <c r="BK88" s="384" t="n">
        <f aca="false">BK37-BK87</f>
        <v>-7</v>
      </c>
      <c r="BL88" s="384" t="n">
        <f aca="false">BL37-BL87</f>
        <v>-7</v>
      </c>
      <c r="BM88" s="384" t="n">
        <f aca="false">BM37-BM87</f>
        <v>-7</v>
      </c>
      <c r="BN88" s="384" t="n">
        <f aca="false">BN37-BN87</f>
        <v>-7</v>
      </c>
      <c r="BO88" s="384" t="n">
        <f aca="false">BO37-BO87</f>
        <v>-7</v>
      </c>
      <c r="BP88" s="384" t="n">
        <f aca="false">BP37-BP87</f>
        <v>-7</v>
      </c>
      <c r="BQ88" s="384" t="n">
        <f aca="false">BQ37-BQ87</f>
        <v>-7</v>
      </c>
      <c r="BR88" s="384" t="n">
        <f aca="false">BR37-BR87</f>
        <v>-7</v>
      </c>
      <c r="BS88" s="384" t="n">
        <f aca="false">BS37-BS87</f>
        <v>-7</v>
      </c>
      <c r="BT88" s="384" t="n">
        <f aca="false">BT37-BT87</f>
        <v>-7</v>
      </c>
      <c r="BU88" s="384" t="n">
        <f aca="false">BU37-BU87</f>
        <v>-7</v>
      </c>
      <c r="BV88" s="384" t="n">
        <f aca="false">BV37-BV87</f>
        <v>-7</v>
      </c>
      <c r="BW88" s="384" t="n">
        <f aca="false">BW37-BW87</f>
        <v>-7</v>
      </c>
      <c r="BX88" s="384" t="n">
        <f aca="false">BX37-BX87</f>
        <v>-7</v>
      </c>
      <c r="BY88" s="384" t="n">
        <f aca="false">BY37-BY87</f>
        <v>-7</v>
      </c>
      <c r="BZ88" s="384" t="n">
        <f aca="false">BZ37-BZ87</f>
        <v>-7</v>
      </c>
      <c r="CA88" s="384" t="n">
        <f aca="false">CA37-CA87</f>
        <v>-7</v>
      </c>
      <c r="CB88" s="384" t="n">
        <f aca="false">CB37-CB87</f>
        <v>-7</v>
      </c>
      <c r="CC88" s="384" t="n">
        <f aca="false">CC37-CC87</f>
        <v>-7</v>
      </c>
      <c r="CD88" s="384" t="n">
        <f aca="false">CD37-CD87</f>
        <v>-7</v>
      </c>
      <c r="CE88" s="384" t="n">
        <f aca="false">CE37-CE87</f>
        <v>-7</v>
      </c>
      <c r="CF88" s="384" t="n">
        <f aca="false">CF37-CF87</f>
        <v>-7</v>
      </c>
      <c r="CG88" s="384" t="n">
        <f aca="false">CG37-CG87</f>
        <v>-7</v>
      </c>
      <c r="CH88" s="384" t="n">
        <f aca="false">CH37-CH87</f>
        <v>-7</v>
      </c>
      <c r="CI88" s="384" t="n">
        <f aca="false">CI37-CI87</f>
        <v>-7</v>
      </c>
      <c r="CJ88" s="384" t="n">
        <f aca="false">CJ37-CJ87</f>
        <v>-7</v>
      </c>
      <c r="CK88" s="384" t="n">
        <f aca="false">CK37-CK87</f>
        <v>-7</v>
      </c>
      <c r="CL88" s="384" t="n">
        <f aca="false">CL37-CL87</f>
        <v>-7</v>
      </c>
      <c r="CM88" s="384" t="n">
        <f aca="false">CM37-CM87</f>
        <v>-7</v>
      </c>
      <c r="CN88" s="384" t="n">
        <f aca="false">CN37-CN87</f>
        <v>-7</v>
      </c>
      <c r="CO88" s="384" t="n">
        <f aca="false">CO37-CO87</f>
        <v>-7</v>
      </c>
      <c r="CP88" s="384" t="n">
        <f aca="false">CP37-CP87</f>
        <v>-7</v>
      </c>
      <c r="CQ88" s="384" t="n">
        <f aca="false">CQ37-CQ87</f>
        <v>-7</v>
      </c>
      <c r="CR88" s="384" t="n">
        <f aca="false">CR37-CR87</f>
        <v>-7</v>
      </c>
      <c r="CS88" s="384" t="n">
        <f aca="false">CS37-CS87</f>
        <v>-7</v>
      </c>
      <c r="CT88" s="384" t="n">
        <f aca="false">CT37-CT87</f>
        <v>-7</v>
      </c>
      <c r="CU88" s="384" t="n">
        <f aca="false">CU37-CU87</f>
        <v>-7</v>
      </c>
      <c r="CV88" s="384" t="n">
        <f aca="false">CV37-CV87</f>
        <v>-7</v>
      </c>
      <c r="CW88" s="384" t="n">
        <f aca="false">CW37-CW87</f>
        <v>-7</v>
      </c>
      <c r="CX88" s="384" t="n">
        <f aca="false">CX37-CX87</f>
        <v>-7</v>
      </c>
      <c r="CY88" s="384" t="n">
        <f aca="false">CY37-CY87</f>
        <v>-7</v>
      </c>
      <c r="CZ88" s="384" t="n">
        <f aca="false">CZ37-CZ87</f>
        <v>-7</v>
      </c>
      <c r="DA88" s="384" t="n">
        <f aca="false">DA37-DA87</f>
        <v>-7</v>
      </c>
      <c r="DB88" s="384" t="n">
        <f aca="false">DB37-DB87</f>
        <v>-7</v>
      </c>
      <c r="DC88" s="384" t="n">
        <f aca="false">DC37-DC87</f>
        <v>-7</v>
      </c>
      <c r="DD88" s="384" t="n">
        <f aca="false">DD37-DD87</f>
        <v>-7</v>
      </c>
      <c r="DE88" s="384" t="n">
        <f aca="false">DE37-DE87</f>
        <v>-7</v>
      </c>
    </row>
    <row r="89" customFormat="false" ht="13.5" hidden="false" customHeight="true" outlineLevel="0" collapsed="false">
      <c r="A89" s="110" t="s">
        <v>1417</v>
      </c>
      <c r="E89" s="384" t="n">
        <f aca="false">(E87+E44+SUM(E61:E68)+E45+SUM(E71:E74))-(E38+E39+E40)</f>
        <v>0.945</v>
      </c>
      <c r="F89" s="384" t="n">
        <f aca="false">(F87+F44+SUM(F61:F68)+F45+SUM(F71:F74))-(F38+F39+F40)</f>
        <v>2.945</v>
      </c>
      <c r="G89" s="384" t="n">
        <f aca="false">(G87+G44+SUM(G61:G68)+G45+SUM(G71:G74))-(G38+G39+G40)</f>
        <v>2.945</v>
      </c>
      <c r="H89" s="384" t="n">
        <f aca="false">(H87+H44+SUM(H61:H68)+H45+SUM(H71:H74))-(H38+H39+H40)</f>
        <v>3.945</v>
      </c>
      <c r="I89" s="384" t="n">
        <f aca="false">(I87+I44+SUM(I61:I68)+I45+SUM(I71:I74))-(I38+I39+I40)</f>
        <v>0.745000000000001</v>
      </c>
      <c r="J89" s="384" t="n">
        <f aca="false">(J87+J44+SUM(J61:J68)+J45+SUM(J71:J74))-(J38+J39+J40)</f>
        <v>0.7525</v>
      </c>
      <c r="K89" s="384" t="n">
        <f aca="false">(K87+K44+SUM(K61:K68)+K45+SUM(K71:K74))-(K38+K39+K40)</f>
        <v>0.7525</v>
      </c>
      <c r="L89" s="384" t="n">
        <f aca="false">(L87+L44+SUM(L61:L68)+L45+SUM(L71:L74))-(L38+L39+L40)</f>
        <v>0.7525</v>
      </c>
      <c r="M89" s="384" t="n">
        <f aca="false">(M87+M44+SUM(M61:M68)+M45+SUM(M71:M74))-(M38+M39+M40)</f>
        <v>0.427499999999998</v>
      </c>
      <c r="N89" s="384" t="n">
        <f aca="false">(N87+N44+SUM(N61:N68)+N45+SUM(N71:N74))-(N38+N39+N40)</f>
        <v>0.77</v>
      </c>
      <c r="O89" s="384" t="n">
        <f aca="false">(O87+O44+SUM(O61:O68)+O45+SUM(O71:O74))-(O38+O39+O40)</f>
        <v>1.23</v>
      </c>
      <c r="P89" s="384" t="n">
        <f aca="false">(P87+P44+SUM(P61:P68)+P45+SUM(P71:P74))-(P38+P39+P40)</f>
        <v>1.23</v>
      </c>
      <c r="Q89" s="384" t="n">
        <f aca="false">(Q87+Q44+SUM(Q61:Q68)+Q45+SUM(Q71:Q74))-(Q38+Q39+Q40)</f>
        <v>1.5625</v>
      </c>
      <c r="R89" s="384" t="n">
        <f aca="false">(R87+R44+SUM(R61:R68)+R45+SUM(R71:R74))-(R38+R39+R40)</f>
        <v>1.5625</v>
      </c>
      <c r="S89" s="384" t="n">
        <f aca="false">(S87+S44+SUM(S61:S68)+S45+SUM(S71:S74))-(S38+S39+S40)</f>
        <v>1.7875</v>
      </c>
      <c r="T89" s="384" t="n">
        <f aca="false">(T87+T44+SUM(T61:T68)+T45+SUM(T71:T74))-(T38+T39+T40)</f>
        <v>2.0125</v>
      </c>
      <c r="U89" s="384" t="n">
        <f aca="false">(U87+U44+SUM(U61:U68)+U45+SUM(U71:U74))-(U38+U39+U40)</f>
        <v>3.445</v>
      </c>
      <c r="V89" s="384" t="n">
        <f aca="false">(V87+V44+SUM(V61:V68)+V45+SUM(V71:V74))-(V38+V39+V40)</f>
        <v>2.445</v>
      </c>
      <c r="W89" s="384" t="n">
        <f aca="false">(W87+W44+SUM(W61:W68)+W45+SUM(W71:W74))-(W38+W39+W40)</f>
        <v>3.545</v>
      </c>
      <c r="X89" s="384" t="n">
        <f aca="false">(X87+X44+SUM(X61:X68)+X45+SUM(X71:X74))-(X38+X39+X40)</f>
        <v>4.645</v>
      </c>
      <c r="Y89" s="384" t="n">
        <f aca="false">(Y87+Y44+SUM(Y61:Y68)+Y45+SUM(Y71:Y74))-(Y38+Y39+Y40)</f>
        <v>5.97</v>
      </c>
      <c r="Z89" s="384" t="n">
        <f aca="false">(Z87+Z44+SUM(Z61:Z68)+Z45+SUM(Z71:Z74))-(Z38+Z39+Z40)</f>
        <v>4.195</v>
      </c>
      <c r="AA89" s="384" t="n">
        <f aca="false">(AA87+AA44+SUM(AA61:AA68)+AA45+SUM(AA71:AA74))-(AA38+AA39+AA40)</f>
        <v>4.195</v>
      </c>
      <c r="AB89" s="384" t="n">
        <f aca="false">(AB87+AB44+SUM(AB61:AB68)+AB45+SUM(AB71:AB74))-(AB38+AB39+AB40)</f>
        <v>3.195</v>
      </c>
      <c r="AC89" s="384" t="n">
        <f aca="false">(AC87+AC44+SUM(AC61:AC68)+AC45+SUM(AC71:AC74))-(AC38+AC39+AC40)</f>
        <v>3.295</v>
      </c>
      <c r="AD89" s="384" t="n">
        <f aca="false">(AD87+AD44+SUM(AD61:AD68)+AD45+SUM(AD71:AD74))-(AD38+AD39+AD40)</f>
        <v>4.9525</v>
      </c>
      <c r="AE89" s="384" t="n">
        <f aca="false">(AE87+AE44+SUM(AE61:AE68)+AE45+SUM(AE71:AE74))-(AE38+AE39+AE40)</f>
        <v>5.285</v>
      </c>
      <c r="AF89" s="384" t="n">
        <f aca="false">(AF87+AF44+SUM(AF61:AF68)+AF45+SUM(AF71:AF74))-(AF38+AF39+AF40)</f>
        <v>5.285</v>
      </c>
      <c r="AG89" s="384" t="n">
        <f aca="false">(AG87+AG44+SUM(AG61:AG68)+AG45+SUM(AG71:AG74))-(AG38+AG39+AG40)</f>
        <v>5.285</v>
      </c>
      <c r="AH89" s="384" t="n">
        <f aca="false">(AH87+AH44+SUM(AH61:AH68)+AH45+SUM(AH71:AH74))-(AH38+AH39+AH40)</f>
        <v>7.8175</v>
      </c>
      <c r="AI89" s="384" t="n">
        <f aca="false">(AI87+AI44+SUM(AI61:AI68)+AI45+SUM(AI71:AI74))-(AI38+AI39+AI40)</f>
        <v>9.025</v>
      </c>
      <c r="AJ89" s="384" t="n">
        <f aca="false">(AJ87+AJ44+SUM(AJ61:AJ68)+AJ45+SUM(AJ71:AJ74))-(AJ38+AJ39+AJ40)</f>
        <v>9.025</v>
      </c>
      <c r="AK89" s="384" t="n">
        <f aca="false">(AK87+AK44+SUM(AK61:AK68)+AK45+SUM(AK71:AK74))-(AK38+AK39+AK40)</f>
        <v>9.025</v>
      </c>
      <c r="AL89" s="384" t="n">
        <f aca="false">(AL87+AL44+SUM(AL61:AL68)+AL45+SUM(AL71:AL74))-(AL38+AL39+AL40)</f>
        <v>10.625</v>
      </c>
      <c r="AM89" s="384" t="n">
        <f aca="false">(AM87+AM44+SUM(AM61:AM68)+AM45+SUM(AM71:AM74))-(AM38+AM39+AM40)</f>
        <v>10.625</v>
      </c>
      <c r="AN89" s="384" t="n">
        <f aca="false">(AN87+AN44+SUM(AN61:AN68)+AN45+SUM(AN71:AN74))-(AN38+AN39+AN40)</f>
        <v>10.625</v>
      </c>
      <c r="AO89" s="384" t="n">
        <f aca="false">(AO87+AO44+SUM(AO61:AO68)+AO45+SUM(AO71:AO74))-(AO38+AO39+AO40)</f>
        <v>10.625</v>
      </c>
      <c r="AP89" s="384" t="n">
        <f aca="false">(AP87+AP44+SUM(AP61:AP68)+AP45+SUM(AP71:AP74))-(AP38+AP39+AP40)</f>
        <v>12</v>
      </c>
      <c r="AQ89" s="384" t="n">
        <f aca="false">(AQ87+AQ44+SUM(AQ61:AQ68)+AQ45+SUM(AQ71:AQ74))-(AQ38+AQ39+AQ40)</f>
        <v>12</v>
      </c>
      <c r="AR89" s="384" t="n">
        <f aca="false">(AR87+AR44+SUM(AR61:AR68)+AR45+SUM(AR71:AR74))-(AR38+AR39+AR40)</f>
        <v>12</v>
      </c>
      <c r="AS89" s="384" t="n">
        <f aca="false">(AS87+AS44+SUM(AS61:AS68)+AS45+SUM(AS71:AS74))-(AS38+AS39+AS40)</f>
        <v>12</v>
      </c>
      <c r="AT89" s="384" t="n">
        <f aca="false">(AT87+AT44+SUM(AT61:AT68)+AT45+SUM(AT71:AT74))-(AT38+AT39+AT40)</f>
        <v>12</v>
      </c>
      <c r="AU89" s="384" t="n">
        <f aca="false">(AU87+AU44+SUM(AU61:AU68)+AU45+SUM(AU71:AU74))-(AU38+AU39+AU40)</f>
        <v>12</v>
      </c>
      <c r="AV89" s="384" t="n">
        <f aca="false">(AV87+AV44+SUM(AV61:AV68)+AV45+SUM(AV71:AV74))-(AV38+AV39+AV40)</f>
        <v>12</v>
      </c>
      <c r="AW89" s="384" t="n">
        <f aca="false">(AW87+AW44+SUM(AW61:AW68)+AW45+SUM(AW71:AW74))-(AW38+AW39+AW40)</f>
        <v>12</v>
      </c>
      <c r="AX89" s="384" t="n">
        <f aca="false">(AX87+AX44+SUM(AX61:AX68)+AX45+SUM(AX71:AX74))-(AX38+AX39+AX40)</f>
        <v>12</v>
      </c>
      <c r="AY89" s="384" t="n">
        <f aca="false">(AY87+AY44+SUM(AY61:AY68)+AY45+SUM(AY71:AY74))-(AY38+AY39+AY40)</f>
        <v>12</v>
      </c>
      <c r="AZ89" s="384" t="n">
        <f aca="false">(AZ87+AZ44+SUM(AZ61:AZ68)+AZ45+SUM(AZ71:AZ74))-(AZ38+AZ39+AZ40)</f>
        <v>12</v>
      </c>
      <c r="BA89" s="384" t="n">
        <f aca="false">(BA87+BA44+SUM(BA61:BA68)+BA45+SUM(BA71:BA74))-(BA38+BA39+BA40)</f>
        <v>12</v>
      </c>
      <c r="BB89" s="384" t="n">
        <f aca="false">(BB87+BB44+SUM(BB61:BB68)+BB45+SUM(BB71:BB74))-(BB38+BB39+BB40)</f>
        <v>12</v>
      </c>
      <c r="BC89" s="384" t="n">
        <f aca="false">(BC87+BC44+SUM(BC61:BC68)+BC45+SUM(BC71:BC74))-(BC38+BC39+BC40)</f>
        <v>12</v>
      </c>
      <c r="BD89" s="384" t="n">
        <f aca="false">(BD87+BD44+SUM(BD61:BD68)+BD45+SUM(BD71:BD74))-(BD38+BD39+BD40)</f>
        <v>12</v>
      </c>
      <c r="BE89" s="384" t="n">
        <f aca="false">(BE87+BE44+SUM(BE61:BE68)+BE45+SUM(BE71:BE74))-(BE38+BE39+BE40)</f>
        <v>12</v>
      </c>
      <c r="BF89" s="384" t="n">
        <f aca="false">(BF87+BF44+SUM(BF61:BF68)+BF45+SUM(BF71:BF74))-(BF38+BF39+BF40)</f>
        <v>12</v>
      </c>
      <c r="BG89" s="384" t="n">
        <f aca="false">(BG87+BG44+SUM(BG61:BG68)+BG45+SUM(BG71:BG74))-(BG38+BG39+BG40)</f>
        <v>12</v>
      </c>
      <c r="BH89" s="384" t="n">
        <f aca="false">(BH87+BH44+SUM(BH61:BH68)+BH45+SUM(BH71:BH74))-(BH38+BH39+BH40)</f>
        <v>12</v>
      </c>
      <c r="BI89" s="384" t="n">
        <f aca="false">(BI87+BI44+SUM(BI61:BI68)+BI45+SUM(BI71:BI74))-(BI38+BI39+BI40)</f>
        <v>12</v>
      </c>
      <c r="BJ89" s="384" t="n">
        <f aca="false">(BJ87+BJ44+SUM(BJ61:BJ68)+BJ45+SUM(BJ71:BJ74))-(BJ38+BJ39+BJ40)</f>
        <v>12</v>
      </c>
      <c r="BK89" s="384" t="n">
        <f aca="false">(BK87+BK44+SUM(BK61:BK68)+BK45+SUM(BK71:BK74))-(BK38+BK39+BK40)</f>
        <v>12</v>
      </c>
      <c r="BL89" s="384" t="n">
        <f aca="false">(BL87+BL44+SUM(BL61:BL68)+BL45+SUM(BL71:BL74))-(BL38+BL39+BL40)</f>
        <v>12</v>
      </c>
      <c r="BM89" s="384" t="n">
        <f aca="false">(BM87+BM44+SUM(BM61:BM68)+BM45+SUM(BM71:BM74))-(BM38+BM39+BM40)</f>
        <v>12</v>
      </c>
      <c r="BN89" s="384" t="n">
        <f aca="false">(BN87+BN44+SUM(BN61:BN68)+BN45+SUM(BN71:BN74))-(BN38+BN39+BN40)</f>
        <v>12</v>
      </c>
      <c r="BO89" s="384" t="n">
        <f aca="false">(BO87+BO44+SUM(BO61:BO68)+BO45+SUM(BO71:BO74))-(BO38+BO39+BO40)</f>
        <v>12</v>
      </c>
      <c r="BP89" s="384" t="n">
        <f aca="false">(BP87+BP44+SUM(BP61:BP68)+BP45+SUM(BP71:BP74))-(BP38+BP39+BP40)</f>
        <v>12</v>
      </c>
      <c r="BQ89" s="384" t="n">
        <f aca="false">(BQ87+BQ44+SUM(BQ61:BQ68)+BQ45+SUM(BQ71:BQ74))-(BQ38+BQ39+BQ40)</f>
        <v>12</v>
      </c>
      <c r="BR89" s="384" t="n">
        <f aca="false">(BR87+BR44+SUM(BR61:BR68)+BR45+SUM(BR71:BR74))-(BR38+BR39+BR40)</f>
        <v>12</v>
      </c>
      <c r="BS89" s="384" t="n">
        <f aca="false">(BS87+BS44+SUM(BS61:BS68)+BS45+SUM(BS71:BS74))-(BS38+BS39+BS40)</f>
        <v>12</v>
      </c>
      <c r="BT89" s="384" t="n">
        <f aca="false">(BT87+BT44+SUM(BT61:BT68)+BT45+SUM(BT71:BT74))-(BT38+BT39+BT40)</f>
        <v>12</v>
      </c>
      <c r="BU89" s="384" t="n">
        <f aca="false">(BU87+BU44+SUM(BU61:BU68)+BU45+SUM(BU71:BU74))-(BU38+BU39+BU40)</f>
        <v>12</v>
      </c>
      <c r="BV89" s="384" t="n">
        <f aca="false">(BV87+BV44+SUM(BV61:BV68)+BV45+SUM(BV71:BV74))-(BV38+BV39+BV40)</f>
        <v>12</v>
      </c>
      <c r="BW89" s="384" t="n">
        <f aca="false">(BW87+BW44+SUM(BW61:BW68)+BW45+SUM(BW71:BW74))-(BW38+BW39+BW40)</f>
        <v>12</v>
      </c>
      <c r="BX89" s="384" t="n">
        <f aca="false">(BX87+BX44+SUM(BX61:BX68)+BX45+SUM(BX71:BX74))-(BX38+BX39+BX40)</f>
        <v>12</v>
      </c>
      <c r="BY89" s="384" t="n">
        <f aca="false">(BY87+BY44+SUM(BY61:BY68)+BY45+SUM(BY71:BY74))-(BY38+BY39+BY40)</f>
        <v>12</v>
      </c>
      <c r="BZ89" s="384" t="n">
        <f aca="false">(BZ87+BZ44+SUM(BZ61:BZ68)+BZ45+SUM(BZ71:BZ74))-(BZ38+BZ39+BZ40)</f>
        <v>12</v>
      </c>
      <c r="CA89" s="384" t="n">
        <f aca="false">(CA87+CA44+SUM(CA61:CA68)+CA45+SUM(CA71:CA74))-(CA38+CA39+CA40)</f>
        <v>12</v>
      </c>
      <c r="CB89" s="384" t="n">
        <f aca="false">(CB87+CB44+SUM(CB61:CB68)+CB45+SUM(CB71:CB74))-(CB38+CB39+CB40)</f>
        <v>12</v>
      </c>
      <c r="CC89" s="384" t="n">
        <f aca="false">(CC87+CC44+SUM(CC61:CC68)+CC45+SUM(CC71:CC74))-(CC38+CC39+CC40)</f>
        <v>12</v>
      </c>
      <c r="CD89" s="384" t="n">
        <f aca="false">(CD87+CD44+SUM(CD61:CD68)+CD45+SUM(CD71:CD74))-(CD38+CD39+CD40)</f>
        <v>12</v>
      </c>
      <c r="CE89" s="384" t="n">
        <f aca="false">(CE87+CE44+SUM(CE61:CE68)+CE45+SUM(CE71:CE74))-(CE38+CE39+CE40)</f>
        <v>12</v>
      </c>
      <c r="CF89" s="384" t="n">
        <f aca="false">(CF87+CF44+SUM(CF61:CF68)+CF45+SUM(CF71:CF74))-(CF38+CF39+CF40)</f>
        <v>12</v>
      </c>
      <c r="CG89" s="384" t="n">
        <f aca="false">(CG87+CG44+SUM(CG61:CG68)+CG45+SUM(CG71:CG74))-(CG38+CG39+CG40)</f>
        <v>12</v>
      </c>
      <c r="CH89" s="384" t="n">
        <f aca="false">(CH87+CH44+SUM(CH61:CH68)+CH45+SUM(CH71:CH74))-(CH38+CH39+CH40)</f>
        <v>12</v>
      </c>
      <c r="CI89" s="384" t="n">
        <f aca="false">(CI87+CI44+SUM(CI61:CI68)+CI45+SUM(CI71:CI74))-(CI38+CI39+CI40)</f>
        <v>12</v>
      </c>
      <c r="CJ89" s="384" t="n">
        <f aca="false">(CJ87+CJ44+SUM(CJ61:CJ68)+CJ45+SUM(CJ71:CJ74))-(CJ38+CJ39+CJ40)</f>
        <v>12</v>
      </c>
      <c r="CK89" s="384" t="n">
        <f aca="false">(CK87+CK44+SUM(CK61:CK68)+CK45+SUM(CK71:CK74))-(CK38+CK39+CK40)</f>
        <v>12</v>
      </c>
      <c r="CL89" s="384" t="n">
        <f aca="false">(CL87+CL44+SUM(CL61:CL68)+CL45+SUM(CL71:CL74))-(CL38+CL39+CL40)</f>
        <v>12</v>
      </c>
      <c r="CM89" s="384" t="n">
        <f aca="false">(CM87+CM44+SUM(CM61:CM68)+CM45+SUM(CM71:CM74))-(CM38+CM39+CM40)</f>
        <v>12</v>
      </c>
      <c r="CN89" s="384" t="n">
        <f aca="false">(CN87+CN44+SUM(CN61:CN68)+CN45+SUM(CN71:CN74))-(CN38+CN39+CN40)</f>
        <v>12</v>
      </c>
      <c r="CO89" s="384" t="n">
        <f aca="false">(CO87+CO44+SUM(CO61:CO68)+CO45+SUM(CO71:CO74))-(CO38+CO39+CO40)</f>
        <v>12</v>
      </c>
      <c r="CP89" s="384" t="n">
        <f aca="false">(CP87+CP44+SUM(CP61:CP68)+CP45+SUM(CP71:CP74))-(CP38+CP39+CP40)</f>
        <v>12</v>
      </c>
      <c r="CQ89" s="384" t="n">
        <f aca="false">(CQ87+CQ44+SUM(CQ61:CQ68)+CQ45+SUM(CQ71:CQ74))-(CQ38+CQ39+CQ40)</f>
        <v>12</v>
      </c>
      <c r="CR89" s="384" t="n">
        <f aca="false">(CR87+CR44+SUM(CR61:CR68)+CR45+SUM(CR71:CR74))-(CR38+CR39+CR40)</f>
        <v>12</v>
      </c>
      <c r="CS89" s="384" t="n">
        <f aca="false">(CS87+CS44+SUM(CS61:CS68)+CS45+SUM(CS71:CS74))-(CS38+CS39+CS40)</f>
        <v>12</v>
      </c>
      <c r="CT89" s="384" t="n">
        <f aca="false">(CT87+CT44+SUM(CT61:CT68)+CT45+SUM(CT71:CT74))-(CT38+CT39+CT40)</f>
        <v>12</v>
      </c>
      <c r="CU89" s="384" t="n">
        <f aca="false">(CU87+CU44+SUM(CU61:CU68)+CU45+SUM(CU71:CU74))-(CU38+CU39+CU40)</f>
        <v>12</v>
      </c>
      <c r="CV89" s="384" t="n">
        <f aca="false">(CV87+CV44+SUM(CV61:CV68)+CV45+SUM(CV71:CV74))-(CV38+CV39+CV40)</f>
        <v>12</v>
      </c>
      <c r="CW89" s="384" t="n">
        <f aca="false">(CW87+CW44+SUM(CW61:CW68)+CW45+SUM(CW71:CW74))-(CW38+CW39+CW40)</f>
        <v>12</v>
      </c>
      <c r="CX89" s="384" t="n">
        <f aca="false">(CX87+CX44+SUM(CX61:CX68)+CX45+SUM(CX71:CX74))-(CX38+CX39+CX40)</f>
        <v>12</v>
      </c>
      <c r="CY89" s="384" t="n">
        <f aca="false">(CY87+CY44+SUM(CY61:CY68)+CY45+SUM(CY71:CY74))-(CY38+CY39+CY40)</f>
        <v>12</v>
      </c>
      <c r="CZ89" s="384" t="n">
        <f aca="false">(CZ87+CZ44+SUM(CZ61:CZ68)+CZ45+SUM(CZ71:CZ74))-(CZ38+CZ39+CZ40)</f>
        <v>12</v>
      </c>
      <c r="DA89" s="384" t="n">
        <f aca="false">(DA87+DA44+SUM(DA61:DA68)+DA45+SUM(DA71:DA74))-(DA38+DA39+DA40)</f>
        <v>12</v>
      </c>
      <c r="DB89" s="384" t="n">
        <f aca="false">(DB87+DB44+SUM(DB61:DB68)+DB45+SUM(DB71:DB74))-(DB38+DB39+DB40)</f>
        <v>12</v>
      </c>
      <c r="DC89" s="384" t="n">
        <f aca="false">(DC87+DC44+SUM(DC61:DC68)+DC45+SUM(DC71:DC74))-(DC38+DC39+DC40)</f>
        <v>12</v>
      </c>
      <c r="DD89" s="384" t="n">
        <f aca="false">(DD87+DD44+SUM(DD61:DD68)+DD45+SUM(DD71:DD74))-(DD38+DD39+DD40)</f>
        <v>12</v>
      </c>
      <c r="DE89" s="384" t="n">
        <f aca="false">(DE87+DE44+SUM(DE61:DE68)+DE45+SUM(DE71:DE74))-(DE38+DE39+DE40)</f>
        <v>12</v>
      </c>
    </row>
    <row r="91" customFormat="false" ht="13.5" hidden="false" customHeight="true" outlineLevel="0" collapsed="false">
      <c r="A91" s="211" t="s">
        <v>1418</v>
      </c>
      <c r="B91" s="212"/>
    </row>
    <row r="92" customFormat="false" ht="13.5" hidden="false" customHeight="true" outlineLevel="0" collapsed="false">
      <c r="A92" s="110" t="s">
        <v>1419</v>
      </c>
      <c r="B92" s="381" t="n">
        <v>1</v>
      </c>
    </row>
    <row r="93" customFormat="false" ht="13.5" hidden="false" customHeight="true" outlineLevel="0" collapsed="false">
      <c r="A93" s="110" t="s">
        <v>1420</v>
      </c>
      <c r="B93" s="381" t="n">
        <v>0.5</v>
      </c>
    </row>
    <row r="94" customFormat="false" ht="13.5" hidden="false" customHeight="true" outlineLevel="0" collapsed="false">
      <c r="A94" s="110" t="s">
        <v>1421</v>
      </c>
      <c r="B94" s="381" t="n">
        <v>0.33</v>
      </c>
    </row>
    <row r="96" customFormat="false" ht="13.5" hidden="false" customHeight="true" outlineLevel="0" collapsed="false">
      <c r="A96" s="1" t="s">
        <v>1422</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5.49</v>
      </c>
      <c r="R96" s="1" t="n">
        <f aca="false">SUMPRODUCT((Projects!$G$2:$G$45="Yes")*(14&gt;=Projects!$C$2:$C$45-$B$15)*(14&lt;=Projects!$W$2:$W$45+$B$17)*((Projects!$B$2:$B$45&gt;=$B$12)*$B$92+(Projects!$B$2:$B$45&lt;$B$12)*(Projects!$B$2:$B$45&gt;=$B$13)*$B$93+(Projects!$B$2:$B$45&lt;$B$13)*$B$94))</f>
        <v>5.49</v>
      </c>
      <c r="S96" s="1" t="n">
        <f aca="false">SUMPRODUCT((Projects!$G$2:$G$45="Yes")*(15&gt;=Projects!$C$2:$C$45-$B$15)*(15&lt;=Projects!$W$2:$W$45+$B$17)*((Projects!$B$2:$B$45&gt;=$B$12)*$B$92+(Projects!$B$2:$B$45&lt;$B$12)*(Projects!$B$2:$B$45&gt;=$B$13)*$B$93+(Projects!$B$2:$B$45&lt;$B$13)*$B$94))</f>
        <v>5.49</v>
      </c>
      <c r="T96" s="1" t="n">
        <f aca="false">SUMPRODUCT((Projects!$G$2:$G$45="Yes")*(16&gt;=Projects!$C$2:$C$45-$B$15)*(16&lt;=Projects!$W$2:$W$45+$B$17)*((Projects!$B$2:$B$45&gt;=$B$12)*$B$92+(Projects!$B$2:$B$45&lt;$B$12)*(Projects!$B$2:$B$45&gt;=$B$13)*$B$93+(Projects!$B$2:$B$45&lt;$B$13)*$B$94))</f>
        <v>5.49</v>
      </c>
      <c r="U96" s="1" t="n">
        <f aca="false">SUMPRODUCT((Projects!$G$2:$G$45="Yes")*(17&gt;=Projects!$C$2:$C$45-$B$15)*(17&lt;=Projects!$W$2:$W$45+$B$17)*((Projects!$B$2:$B$45&gt;=$B$12)*$B$92+(Projects!$B$2:$B$45&lt;$B$12)*(Projects!$B$2:$B$45&gt;=$B$13)*$B$93+(Projects!$B$2:$B$45&lt;$B$13)*$B$94))</f>
        <v>5.16</v>
      </c>
      <c r="V96" s="1" t="n">
        <f aca="false">SUMPRODUCT((Projects!$G$2:$G$45="Yes")*(18&gt;=Projects!$C$2:$C$45-$B$15)*(18&lt;=Projects!$W$2:$W$45+$B$17)*((Projects!$B$2:$B$45&gt;=$B$12)*$B$92+(Projects!$B$2:$B$45&lt;$B$12)*(Projects!$B$2:$B$45&gt;=$B$13)*$B$93+(Projects!$B$2:$B$45&lt;$B$13)*$B$94))</f>
        <v>5.16</v>
      </c>
      <c r="W96" s="1" t="n">
        <f aca="false">SUMPRODUCT((Projects!$G$2:$G$45="Yes")*(19&gt;=Projects!$C$2:$C$45-$B$15)*(19&lt;=Projects!$W$2:$W$45+$B$17)*((Projects!$B$2:$B$45&gt;=$B$12)*$B$92+(Projects!$B$2:$B$45&lt;$B$12)*(Projects!$B$2:$B$45&gt;=$B$13)*$B$93+(Projects!$B$2:$B$45&lt;$B$13)*$B$94))</f>
        <v>4.66</v>
      </c>
      <c r="X96" s="1" t="n">
        <f aca="false">SUMPRODUCT((Projects!$G$2:$G$45="Yes")*(20&gt;=Projects!$C$2:$C$45-$B$15)*(20&lt;=Projects!$W$2:$W$45+$B$17)*((Projects!$B$2:$B$45&gt;=$B$12)*$B$92+(Projects!$B$2:$B$45&lt;$B$12)*(Projects!$B$2:$B$45&gt;=$B$13)*$B$93+(Projects!$B$2:$B$45&lt;$B$13)*$B$94))</f>
        <v>4.16</v>
      </c>
      <c r="Y96" s="1" t="n">
        <f aca="false">SUMPRODUCT((Projects!$G$2:$G$45="Yes")*(21&gt;=Projects!$C$2:$C$45-$B$15)*(21&lt;=Projects!$W$2:$W$45+$B$17)*((Projects!$B$2:$B$45&gt;=$B$12)*$B$92+(Projects!$B$2:$B$45&lt;$B$12)*(Projects!$B$2:$B$45&gt;=$B$13)*$B$93+(Projects!$B$2:$B$45&lt;$B$13)*$B$94))</f>
        <v>3.66</v>
      </c>
      <c r="Z96" s="1" t="n">
        <f aca="false">SUMPRODUCT((Projects!$G$2:$G$45="Yes")*(22&gt;=Projects!$C$2:$C$45-$B$15)*(22&lt;=Projects!$W$2:$W$45+$B$17)*((Projects!$B$2:$B$45&gt;=$B$12)*$B$92+(Projects!$B$2:$B$45&lt;$B$12)*(Projects!$B$2:$B$45&gt;=$B$13)*$B$93+(Projects!$B$2:$B$45&lt;$B$13)*$B$94))</f>
        <v>3.66</v>
      </c>
      <c r="AA96" s="1" t="n">
        <f aca="false">SUMPRODUCT((Projects!$G$2:$G$45="Yes")*(23&gt;=Projects!$C$2:$C$45-$B$15)*(23&lt;=Projects!$W$2:$W$45+$B$17)*((Projects!$B$2:$B$45&gt;=$B$12)*$B$92+(Projects!$B$2:$B$45&lt;$B$12)*(Projects!$B$2:$B$45&gt;=$B$13)*$B$93+(Projects!$B$2:$B$45&lt;$B$13)*$B$94))</f>
        <v>3.66</v>
      </c>
      <c r="AB96" s="1" t="n">
        <f aca="false">SUMPRODUCT((Projects!$G$2:$G$45="Yes")*(24&gt;=Projects!$C$2:$C$45-$B$15)*(24&lt;=Projects!$W$2:$W$45+$B$17)*((Projects!$B$2:$B$45&gt;=$B$12)*$B$92+(Projects!$B$2:$B$45&lt;$B$12)*(Projects!$B$2:$B$45&gt;=$B$13)*$B$93+(Projects!$B$2:$B$45&lt;$B$13)*$B$94))</f>
        <v>3.66</v>
      </c>
      <c r="AC96" s="1" t="n">
        <f aca="false">SUMPRODUCT((Projects!$G$2:$G$45="Yes")*(25&gt;=Projects!$C$2:$C$45-$B$15)*(25&lt;=Projects!$W$2:$W$45+$B$17)*((Projects!$B$2:$B$45&gt;=$B$12)*$B$92+(Projects!$B$2:$B$45&lt;$B$12)*(Projects!$B$2:$B$45&gt;=$B$13)*$B$93+(Projects!$B$2:$B$45&lt;$B$13)*$B$94))</f>
        <v>3.16</v>
      </c>
      <c r="AD96" s="1" t="n">
        <f aca="false">SUMPRODUCT((Projects!$G$2:$G$45="Yes")*(26&gt;=Projects!$C$2:$C$45-$B$15)*(26&lt;=Projects!$W$2:$W$45+$B$17)*((Projects!$B$2:$B$45&gt;=$B$12)*$B$92+(Projects!$B$2:$B$45&lt;$B$12)*(Projects!$B$2:$B$45&gt;=$B$13)*$B$93+(Projects!$B$2:$B$45&lt;$B$13)*$B$94))</f>
        <v>2.66</v>
      </c>
      <c r="AE96" s="1" t="n">
        <f aca="false">SUMPRODUCT((Projects!$G$2:$G$45="Yes")*(27&gt;=Projects!$C$2:$C$45-$B$15)*(27&lt;=Projects!$W$2:$W$45+$B$17)*((Projects!$B$2:$B$45&gt;=$B$12)*$B$92+(Projects!$B$2:$B$45&lt;$B$12)*(Projects!$B$2:$B$45&gt;=$B$13)*$B$93+(Projects!$B$2:$B$45&lt;$B$13)*$B$94))</f>
        <v>2.66</v>
      </c>
      <c r="AF96" s="1" t="n">
        <f aca="false">SUMPRODUCT((Projects!$G$2:$G$45="Yes")*(28&gt;=Projects!$C$2:$C$45-$B$15)*(28&lt;=Projects!$W$2:$W$45+$B$17)*((Projects!$B$2:$B$45&gt;=$B$12)*$B$92+(Projects!$B$2:$B$45&lt;$B$12)*(Projects!$B$2:$B$45&gt;=$B$13)*$B$93+(Projects!$B$2:$B$45&lt;$B$13)*$B$94))</f>
        <v>2.66</v>
      </c>
      <c r="AG96" s="1" t="n">
        <f aca="false">SUMPRODUCT((Projects!$G$2:$G$45="Yes")*(29&gt;=Projects!$C$2:$C$45-$B$15)*(29&lt;=Projects!$W$2:$W$45+$B$17)*((Projects!$B$2:$B$45&gt;=$B$12)*$B$92+(Projects!$B$2:$B$45&lt;$B$12)*(Projects!$B$2:$B$45&gt;=$B$13)*$B$93+(Projects!$B$2:$B$45&lt;$B$13)*$B$94))</f>
        <v>2.66</v>
      </c>
      <c r="AH96" s="1" t="n">
        <f aca="false">SUMPRODUCT((Projects!$G$2:$G$45="Yes")*(30&gt;=Projects!$C$2:$C$45-$B$15)*(30&lt;=Projects!$W$2:$W$45+$B$17)*((Projects!$B$2:$B$45&gt;=$B$12)*$B$92+(Projects!$B$2:$B$45&lt;$B$12)*(Projects!$B$2:$B$45&gt;=$B$13)*$B$93+(Projects!$B$2:$B$45&lt;$B$13)*$B$94))</f>
        <v>1.83</v>
      </c>
      <c r="AI96" s="1" t="n">
        <f aca="false">SUMPRODUCT((Projects!$G$2:$G$45="Yes")*(31&gt;=Projects!$C$2:$C$45-$B$15)*(31&lt;=Projects!$W$2:$W$45+$B$17)*((Projects!$B$2:$B$45&gt;=$B$12)*$B$92+(Projects!$B$2:$B$45&lt;$B$12)*(Projects!$B$2:$B$45&gt;=$B$13)*$B$93+(Projects!$B$2:$B$45&lt;$B$13)*$B$94))</f>
        <v>1.5</v>
      </c>
      <c r="AJ96" s="1" t="n">
        <f aca="false">SUMPRODUCT((Projects!$G$2:$G$45="Yes")*(32&gt;=Projects!$C$2:$C$45-$B$15)*(32&lt;=Projects!$W$2:$W$45+$B$17)*((Projects!$B$2:$B$45&gt;=$B$12)*$B$92+(Projects!$B$2:$B$45&lt;$B$12)*(Projects!$B$2:$B$45&gt;=$B$13)*$B$93+(Projects!$B$2:$B$45&lt;$B$13)*$B$94))</f>
        <v>1.5</v>
      </c>
      <c r="AK96" s="1" t="n">
        <f aca="false">SUMPRODUCT((Projects!$G$2:$G$45="Yes")*(33&gt;=Projects!$C$2:$C$45-$B$15)*(33&lt;=Projects!$W$2:$W$45+$B$17)*((Projects!$B$2:$B$45&gt;=$B$12)*$B$92+(Projects!$B$2:$B$45&lt;$B$12)*(Projects!$B$2:$B$45&gt;=$B$13)*$B$93+(Projects!$B$2:$B$45&lt;$B$13)*$B$94))</f>
        <v>1.5</v>
      </c>
      <c r="AL96" s="1" t="n">
        <f aca="false">SUMPRODUCT((Projects!$G$2:$G$45="Yes")*(34&gt;=Projects!$C$2:$C$45-$B$15)*(34&lt;=Projects!$W$2:$W$45+$B$17)*((Projects!$B$2:$B$45&gt;=$B$12)*$B$92+(Projects!$B$2:$B$45&lt;$B$12)*(Projects!$B$2:$B$45&gt;=$B$13)*$B$93+(Projects!$B$2:$B$45&lt;$B$13)*$B$94))</f>
        <v>1</v>
      </c>
      <c r="AM96" s="1" t="n">
        <f aca="false">SUMPRODUCT((Projects!$G$2:$G$45="Yes")*(35&gt;=Projects!$C$2:$C$45-$B$15)*(35&lt;=Projects!$W$2:$W$45+$B$17)*((Projects!$B$2:$B$45&gt;=$B$12)*$B$92+(Projects!$B$2:$B$45&lt;$B$12)*(Projects!$B$2:$B$45&gt;=$B$13)*$B$93+(Projects!$B$2:$B$45&lt;$B$13)*$B$94))</f>
        <v>1</v>
      </c>
      <c r="AN96" s="1" t="n">
        <f aca="false">SUMPRODUCT((Projects!$G$2:$G$45="Yes")*(36&gt;=Projects!$C$2:$C$45-$B$15)*(36&lt;=Projects!$W$2:$W$45+$B$17)*((Projects!$B$2:$B$45&gt;=$B$12)*$B$92+(Projects!$B$2:$B$45&lt;$B$12)*(Projects!$B$2:$B$45&gt;=$B$13)*$B$93+(Projects!$B$2:$B$45&lt;$B$13)*$B$94))</f>
        <v>1</v>
      </c>
      <c r="AO96" s="1" t="n">
        <f aca="false">SUMPRODUCT((Projects!$G$2:$G$45="Yes")*(37&gt;=Projects!$C$2:$C$45-$B$15)*(37&lt;=Projects!$W$2:$W$45+$B$17)*((Projects!$B$2:$B$45&gt;=$B$12)*$B$92+(Projects!$B$2:$B$45&lt;$B$12)*(Projects!$B$2:$B$45&gt;=$B$13)*$B$93+(Projects!$B$2:$B$45&lt;$B$13)*$B$94))</f>
        <v>1</v>
      </c>
      <c r="AP96" s="1" t="n">
        <f aca="false">SUMPRODUCT((Projects!$G$2:$G$45="Yes")*(38&gt;=Projects!$C$2:$C$45-$B$15)*(38&lt;=Projects!$W$2:$W$45+$B$17)*((Projects!$B$2:$B$45&gt;=$B$12)*$B$92+(Projects!$B$2:$B$45&lt;$B$12)*(Projects!$B$2:$B$45&gt;=$B$13)*$B$93+(Projects!$B$2:$B$45&lt;$B$13)*$B$94))</f>
        <v>0</v>
      </c>
      <c r="AQ96" s="1" t="n">
        <f aca="false">SUMPRODUCT((Projects!$G$2:$G$45="Yes")*(39&gt;=Projects!$C$2:$C$45-$B$15)*(39&lt;=Projects!$W$2:$W$45+$B$17)*((Projects!$B$2:$B$45&gt;=$B$12)*$B$92+(Projects!$B$2:$B$45&lt;$B$12)*(Projects!$B$2:$B$45&gt;=$B$13)*$B$93+(Projects!$B$2:$B$45&lt;$B$13)*$B$94))</f>
        <v>0</v>
      </c>
      <c r="AR96" s="1" t="n">
        <f aca="false">SUMPRODUCT((Projects!$G$2:$G$45="Yes")*(40&gt;=Projects!$C$2:$C$45-$B$15)*(40&lt;=Projects!$W$2:$W$45+$B$17)*((Projects!$B$2:$B$45&gt;=$B$12)*$B$92+(Projects!$B$2:$B$45&lt;$B$12)*(Projects!$B$2:$B$45&gt;=$B$13)*$B$93+(Projects!$B$2:$B$45&lt;$B$13)*$B$94))</f>
        <v>0</v>
      </c>
      <c r="AS96" s="1" t="n">
        <f aca="false">SUMPRODUCT((Projects!$G$2:$G$45="Yes")*(41&gt;=Projects!$C$2:$C$45-$B$15)*(41&lt;=Projects!$W$2:$W$45+$B$17)*((Projects!$B$2:$B$45&gt;=$B$12)*$B$92+(Projects!$B$2:$B$45&lt;$B$12)*(Projects!$B$2:$B$45&gt;=$B$13)*$B$93+(Projects!$B$2:$B$45&lt;$B$13)*$B$94))</f>
        <v>0</v>
      </c>
      <c r="AT96" s="1" t="n">
        <f aca="false">SUMPRODUCT((Projects!$G$2:$G$45="Yes")*(42&gt;=Projects!$C$2:$C$45-$B$15)*(42&lt;=Projects!$W$2:$W$45+$B$17)*((Projects!$B$2:$B$45&gt;=$B$12)*$B$92+(Projects!$B$2:$B$45&lt;$B$12)*(Projects!$B$2:$B$45&gt;=$B$13)*$B$93+(Projects!$B$2:$B$45&lt;$B$13)*$B$94))</f>
        <v>0</v>
      </c>
      <c r="AU96" s="1" t="n">
        <f aca="false">SUMPRODUCT((Projects!$G$2:$G$45="Yes")*(43&gt;=Projects!$C$2:$C$45-$B$15)*(43&lt;=Projects!$W$2:$W$45+$B$17)*((Projects!$B$2:$B$45&gt;=$B$12)*$B$92+(Projects!$B$2:$B$45&lt;$B$12)*(Projects!$B$2:$B$45&gt;=$B$13)*$B$93+(Projects!$B$2:$B$45&lt;$B$13)*$B$94))</f>
        <v>0</v>
      </c>
      <c r="AV96" s="1" t="n">
        <f aca="false">SUMPRODUCT((Projects!$G$2:$G$45="Yes")*(44&gt;=Projects!$C$2:$C$45-$B$15)*(44&lt;=Projects!$W$2:$W$45+$B$17)*((Projects!$B$2:$B$45&gt;=$B$12)*$B$92+(Projects!$B$2:$B$45&lt;$B$12)*(Projects!$B$2:$B$45&gt;=$B$13)*$B$93+(Projects!$B$2:$B$45&lt;$B$13)*$B$94))</f>
        <v>0</v>
      </c>
      <c r="AW96" s="1" t="n">
        <f aca="false">SUMPRODUCT((Projects!$G$2:$G$45="Yes")*(45&gt;=Projects!$C$2:$C$45-$B$15)*(45&lt;=Projects!$W$2:$W$45+$B$17)*((Projects!$B$2:$B$45&gt;=$B$12)*$B$92+(Projects!$B$2:$B$45&lt;$B$12)*(Projects!$B$2:$B$45&gt;=$B$13)*$B$93+(Projects!$B$2:$B$45&lt;$B$13)*$B$94))</f>
        <v>0</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1423</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1424</v>
      </c>
      <c r="B99" s="213" t="n">
        <f aca="false">$B$27</f>
        <v>125000</v>
      </c>
      <c r="E99" s="385" t="n">
        <f aca="false">IF(1&lt;5,0,IF(MAX(E96)&gt;E97+0+$B$18,1,0))</f>
        <v>0</v>
      </c>
      <c r="F99" s="385" t="n">
        <f aca="false">IF(2&lt;5,0,IF(MAX(E96:F96)&gt;F97+0+$B$18,1,0))</f>
        <v>0</v>
      </c>
      <c r="G99" s="385" t="n">
        <f aca="false">IF(3&lt;5,0,IF(MAX(E96:G96)&gt;G97+0+$B$18,1,0))</f>
        <v>0</v>
      </c>
      <c r="H99" s="385" t="n">
        <f aca="false">IF(4&lt;5,0,IF(MAX(E96:H96)&gt;H97+0+$B$18,1,0))</f>
        <v>0</v>
      </c>
      <c r="I99" s="385" t="n">
        <f aca="false">IF(5&lt;5,0,IF(MAX(E96:I96)&gt;I97+0+$B$18,1,0))</f>
        <v>0</v>
      </c>
      <c r="J99" s="385" t="n">
        <f aca="false">IF(6&lt;5,0,IF(MAX(E96:J96)&gt;J97+0+$B$18,1,0))</f>
        <v>0</v>
      </c>
      <c r="K99" s="385" t="n">
        <f aca="false">IF(7&lt;5,0,IF(MAX(F96:K96)&gt;K97+0+$B$18,1,0))</f>
        <v>0</v>
      </c>
      <c r="L99" s="385" t="n">
        <f aca="false">IF(8&lt;5,0,IF(MAX(G96:L96)&gt;L97+0+$B$18,1,0))</f>
        <v>0</v>
      </c>
      <c r="M99" s="385" t="n">
        <f aca="false">IF(9&lt;5,0,IF(MAX(H96:M96)&gt;M97+0+$B$18,1,0))</f>
        <v>1</v>
      </c>
      <c r="N99" s="385" t="n">
        <f aca="false">IF(10&lt;5,0,IF(MAX(I96:N96)&gt;N97+0+$B$18,1,0))</f>
        <v>1</v>
      </c>
      <c r="O99" s="385" t="n">
        <f aca="false">IF(11&lt;5,0,IF(MAX(J96:O96)&gt;O97+0+$B$18,1,0))</f>
        <v>1</v>
      </c>
      <c r="P99" s="385" t="n">
        <f aca="false">IF(12&lt;5,0,IF(MAX(K96:P96)&gt;P97+0+$B$18,1,0))</f>
        <v>1</v>
      </c>
      <c r="Q99" s="385" t="n">
        <f aca="false">IF(13&lt;5,0,IF(MAX(L96:Q96)&gt;Q97+0+$B$18,1,0))</f>
        <v>1</v>
      </c>
      <c r="R99" s="385" t="n">
        <f aca="false">IF(14&lt;5,0,IF(MAX(M96:R96)&gt;R97+0+$B$18,1,0))</f>
        <v>1</v>
      </c>
      <c r="S99" s="385" t="n">
        <f aca="false">IF(15&lt;5,0,IF(MAX(N96:S96)&gt;S97+0+$B$18,1,0))</f>
        <v>1</v>
      </c>
      <c r="T99" s="385" t="n">
        <f aca="false">IF(16&lt;5,0,IF(MAX(O96:T96)&gt;T97+0+$B$18,1,0))</f>
        <v>1</v>
      </c>
      <c r="U99" s="385" t="n">
        <f aca="false">IF(17&lt;5,0,IF(MAX(P96:U96)&gt;U97+0+$B$18,1,0))</f>
        <v>1</v>
      </c>
      <c r="V99" s="385" t="n">
        <f aca="false">IF(18&lt;5,0,IF(MAX(Q96:V96)&gt;V97+0+$B$18,1,0))</f>
        <v>1</v>
      </c>
      <c r="W99" s="385" t="n">
        <f aca="false">IF(19&lt;5,0,IF(MAX(R96:W96)&gt;W97+0+$B$18,1,0))</f>
        <v>1</v>
      </c>
      <c r="X99" s="385" t="n">
        <f aca="false">IF(20&lt;5,0,IF(MAX(S96:X96)&gt;X97+0+$B$18,1,0))</f>
        <v>1</v>
      </c>
      <c r="Y99" s="385" t="n">
        <f aca="false">IF(21&lt;5,0,IF(MAX(T96:Y96)&gt;Y97+0+$B$18,1,0))</f>
        <v>1</v>
      </c>
      <c r="Z99" s="385" t="n">
        <f aca="false">IF(22&lt;5,0,IF(MAX(U96:Z96)&gt;Z97+0+$B$18,1,0))</f>
        <v>1</v>
      </c>
      <c r="AA99" s="385" t="n">
        <f aca="false">IF(23&lt;5,0,IF(MAX(V96:AA96)&gt;AA97+0+$B$18,1,0))</f>
        <v>1</v>
      </c>
      <c r="AB99" s="385" t="n">
        <f aca="false">IF(24&lt;5,0,IF(MAX(W96:AB96)&gt;AB97+0+$B$18,1,0))</f>
        <v>1</v>
      </c>
      <c r="AC99" s="385" t="n">
        <f aca="false">IF(25&lt;5,0,IF(MAX(X96:AC96)&gt;AC97+0+$B$18,1,0))</f>
        <v>0</v>
      </c>
      <c r="AD99" s="385" t="n">
        <f aca="false">IF(26&lt;5,0,IF(MAX(Y96:AD96)&gt;AD97+0+$B$18,1,0))</f>
        <v>0</v>
      </c>
      <c r="AE99" s="385" t="n">
        <f aca="false">IF(27&lt;5,0,IF(MAX(Z96:AE96)&gt;AE97+0+$B$18,1,0))</f>
        <v>0</v>
      </c>
      <c r="AF99" s="385" t="n">
        <f aca="false">IF(28&lt;5,0,IF(MAX(AA96:AF96)&gt;AF97+0+$B$18,1,0))</f>
        <v>0</v>
      </c>
      <c r="AG99" s="385" t="n">
        <f aca="false">IF(29&lt;5,0,IF(MAX(AB96:AG96)&gt;AG97+0+$B$18,1,0))</f>
        <v>0</v>
      </c>
      <c r="AH99" s="385" t="n">
        <f aca="false">IF(30&lt;5,0,IF(MAX(AC96:AH96)&gt;AH97+0+$B$18,1,0))</f>
        <v>0</v>
      </c>
      <c r="AI99" s="385" t="n">
        <f aca="false">IF(31&lt;5,0,IF(MAX(AD96:AI96)&gt;AI97+0+$B$18,1,0))</f>
        <v>0</v>
      </c>
      <c r="AJ99" s="385" t="n">
        <f aca="false">IF(32&lt;5,0,IF(MAX(AE96:AJ96)&gt;AJ97+0+$B$18,1,0))</f>
        <v>0</v>
      </c>
      <c r="AK99" s="385" t="n">
        <f aca="false">IF(33&lt;5,0,IF(MAX(AF96:AK96)&gt;AK97+0+$B$18,1,0))</f>
        <v>0</v>
      </c>
      <c r="AL99" s="385" t="n">
        <f aca="false">IF(34&lt;5,0,IF(MAX(AG96:AL96)&gt;AL97+0+$B$18,1,0))</f>
        <v>0</v>
      </c>
      <c r="AM99" s="385" t="n">
        <f aca="false">IF(35&lt;5,0,IF(MAX(AH96:AM96)&gt;AM97+0+$B$18,1,0))</f>
        <v>0</v>
      </c>
      <c r="AN99" s="385" t="n">
        <f aca="false">IF(36&lt;5,0,IF(MAX(AI96:AN96)&gt;AN97+0+$B$18,1,0))</f>
        <v>0</v>
      </c>
      <c r="AO99" s="385" t="n">
        <f aca="false">IF(37&lt;5,0,IF(MAX(AJ96:AO96)&gt;AO97+0+$B$18,1,0))</f>
        <v>0</v>
      </c>
      <c r="AP99" s="385" t="n">
        <f aca="false">IF(38&lt;5,0,IF(MAX(AK96:AP96)&gt;AP97+0+$B$18,1,0))</f>
        <v>0</v>
      </c>
      <c r="AQ99" s="385" t="n">
        <f aca="false">IF(39&lt;5,0,IF(MAX(AL96:AQ96)&gt;AQ97+0+$B$18,1,0))</f>
        <v>0</v>
      </c>
      <c r="AR99" s="385" t="n">
        <f aca="false">IF(40&lt;5,0,IF(MAX(AM96:AR96)&gt;AR97+0+$B$18,1,0))</f>
        <v>0</v>
      </c>
      <c r="AS99" s="385" t="n">
        <f aca="false">IF(41&lt;5,0,IF(MAX(AN96:AS96)&gt;AS97+0+$B$18,1,0))</f>
        <v>0</v>
      </c>
      <c r="AT99" s="385" t="n">
        <f aca="false">IF(42&lt;5,0,IF(MAX(AO96:AT96)&gt;AT97+0+$B$18,1,0))</f>
        <v>0</v>
      </c>
      <c r="AU99" s="385" t="n">
        <f aca="false">IF(43&lt;5,0,IF(MAX(AP96:AU96)&gt;AU97+0+$B$18,1,0))</f>
        <v>0</v>
      </c>
      <c r="AV99" s="385" t="n">
        <f aca="false">IF(44&lt;5,0,IF(MAX(AQ96:AV96)&gt;AV97+0+$B$18,1,0))</f>
        <v>0</v>
      </c>
      <c r="AW99" s="385" t="n">
        <f aca="false">IF(45&lt;5,0,IF(MAX(AR96:AW96)&gt;AW97+0+$B$18,1,0))</f>
        <v>0</v>
      </c>
      <c r="AX99" s="385" t="n">
        <f aca="false">IF(46&lt;5,0,IF(MAX(AS96:AX96)&gt;AX97+0+$B$18,1,0))</f>
        <v>0</v>
      </c>
      <c r="AY99" s="385" t="n">
        <f aca="false">IF(47&lt;5,0,IF(MAX(AT96:AY96)&gt;AY97+0+$B$18,1,0))</f>
        <v>0</v>
      </c>
      <c r="AZ99" s="385" t="n">
        <f aca="false">IF(48&lt;5,0,IF(MAX(AU96:AZ96)&gt;AZ97+0+$B$18,1,0))</f>
        <v>0</v>
      </c>
      <c r="BA99" s="385" t="n">
        <f aca="false">IF(49&lt;5,0,IF(MAX(AV96:BA96)&gt;BA97+0+$B$18,1,0))</f>
        <v>0</v>
      </c>
      <c r="BB99" s="385" t="n">
        <f aca="false">IF(50&lt;5,0,IF(MAX(AW96:BB96)&gt;BB97+0+$B$18,1,0))</f>
        <v>0</v>
      </c>
      <c r="BC99" s="385" t="n">
        <f aca="false">IF(51&lt;5,0,IF(MAX(AX96:BC96)&gt;BC97+0+$B$18,1,0))</f>
        <v>0</v>
      </c>
      <c r="BD99" s="385" t="n">
        <f aca="false">IF(52&lt;5,0,IF(MAX(AY96:BD96)&gt;BD97+0+$B$18,1,0))</f>
        <v>0</v>
      </c>
      <c r="BE99" s="385" t="n">
        <f aca="false">IF(53&lt;5,0,IF(MAX(AZ96:BE96)&gt;BE97+0+$B$18,1,0))</f>
        <v>0</v>
      </c>
      <c r="BF99" s="385" t="n">
        <f aca="false">IF(54&lt;5,0,IF(MAX(BA96:BF96)&gt;BF97+0+$B$18,1,0))</f>
        <v>0</v>
      </c>
      <c r="BG99" s="385" t="n">
        <f aca="false">IF(55&lt;5,0,IF(MAX(BB96:BG96)&gt;BG97+0+$B$18,1,0))</f>
        <v>0</v>
      </c>
      <c r="BH99" s="385" t="n">
        <f aca="false">IF(56&lt;5,0,IF(MAX(BC96:BH96)&gt;BH97+0+$B$18,1,0))</f>
        <v>0</v>
      </c>
      <c r="BI99" s="385" t="n">
        <f aca="false">IF(57&lt;5,0,IF(MAX(BD96:BI96)&gt;BI97+0+$B$18,1,0))</f>
        <v>0</v>
      </c>
      <c r="BJ99" s="385" t="n">
        <f aca="false">IF(58&lt;5,0,IF(MAX(BE96:BJ96)&gt;BJ97+0+$B$18,1,0))</f>
        <v>0</v>
      </c>
      <c r="BK99" s="385" t="n">
        <f aca="false">IF(59&lt;5,0,IF(MAX(BF96:BK96)&gt;BK97+0+$B$18,1,0))</f>
        <v>0</v>
      </c>
      <c r="BL99" s="385" t="n">
        <f aca="false">IF(60&lt;5,0,IF(MAX(BG96:BL96)&gt;BL97+0+$B$18,1,0))</f>
        <v>0</v>
      </c>
      <c r="BM99" s="385" t="n">
        <f aca="false">IF(61&lt;5,0,IF(MAX(BH96:BM96)&gt;BM97+0+$B$18,1,0))</f>
        <v>0</v>
      </c>
      <c r="BN99" s="385" t="n">
        <f aca="false">IF(62&lt;5,0,IF(MAX(BI96:BN96)&gt;BN97+0+$B$18,1,0))</f>
        <v>0</v>
      </c>
      <c r="BO99" s="385" t="n">
        <f aca="false">IF(63&lt;5,0,IF(MAX(BJ96:BO96)&gt;BO97+0+$B$18,1,0))</f>
        <v>0</v>
      </c>
      <c r="BP99" s="385" t="n">
        <f aca="false">IF(64&lt;5,0,IF(MAX(BK96:BP96)&gt;BP97+0+$B$18,1,0))</f>
        <v>0</v>
      </c>
      <c r="BQ99" s="385" t="n">
        <f aca="false">IF(65&lt;5,0,IF(MAX(BL96:BQ96)&gt;BQ97+0+$B$18,1,0))</f>
        <v>0</v>
      </c>
      <c r="BR99" s="385" t="n">
        <f aca="false">IF(66&lt;5,0,IF(MAX(BM96:BR96)&gt;BR97+0+$B$18,1,0))</f>
        <v>0</v>
      </c>
      <c r="BS99" s="385" t="n">
        <f aca="false">IF(67&lt;5,0,IF(MAX(BN96:BS96)&gt;BS97+0+$B$18,1,0))</f>
        <v>0</v>
      </c>
      <c r="BT99" s="385" t="n">
        <f aca="false">IF(68&lt;5,0,IF(MAX(BO96:BT96)&gt;BT97+0+$B$18,1,0))</f>
        <v>0</v>
      </c>
      <c r="BU99" s="385" t="n">
        <f aca="false">IF(69&lt;5,0,IF(MAX(BP96:BU96)&gt;BU97+0+$B$18,1,0))</f>
        <v>0</v>
      </c>
      <c r="BV99" s="385" t="n">
        <f aca="false">IF(70&lt;5,0,IF(MAX(BQ96:BV96)&gt;BV97+0+$B$18,1,0))</f>
        <v>0</v>
      </c>
      <c r="BW99" s="385" t="n">
        <f aca="false">IF(71&lt;5,0,IF(MAX(BR96:BW96)&gt;BW97+0+$B$18,1,0))</f>
        <v>0</v>
      </c>
      <c r="BX99" s="385" t="n">
        <f aca="false">IF(72&lt;5,0,IF(MAX(BS96:BX96)&gt;BX97+0+$B$18,1,0))</f>
        <v>0</v>
      </c>
      <c r="BY99" s="385" t="n">
        <f aca="false">IF(73&lt;5,0,IF(MAX(BT96:BY96)&gt;BY97+0+$B$18,1,0))</f>
        <v>0</v>
      </c>
      <c r="BZ99" s="385" t="n">
        <f aca="false">IF(74&lt;5,0,IF(MAX(BU96:BZ96)&gt;BZ97+0+$B$18,1,0))</f>
        <v>0</v>
      </c>
      <c r="CA99" s="385" t="n">
        <f aca="false">IF(75&lt;5,0,IF(MAX(BV96:CA96)&gt;CA97+0+$B$18,1,0))</f>
        <v>0</v>
      </c>
      <c r="CB99" s="385" t="n">
        <f aca="false">IF(76&lt;5,0,IF(MAX(BW96:CB96)&gt;CB97+0+$B$18,1,0))</f>
        <v>0</v>
      </c>
      <c r="CC99" s="385" t="n">
        <f aca="false">IF(77&lt;5,0,IF(MAX(BX96:CC96)&gt;CC97+0+$B$18,1,0))</f>
        <v>0</v>
      </c>
      <c r="CD99" s="385" t="n">
        <f aca="false">IF(78&lt;5,0,IF(MAX(BY96:CD96)&gt;CD97+0+$B$18,1,0))</f>
        <v>0</v>
      </c>
      <c r="CE99" s="385" t="n">
        <f aca="false">IF(79&lt;5,0,IF(MAX(BZ96:CE96)&gt;CE97+0+$B$18,1,0))</f>
        <v>0</v>
      </c>
      <c r="CF99" s="385" t="n">
        <f aca="false">IF(80&lt;5,0,IF(MAX(CA96:CF96)&gt;CF97+0+$B$18,1,0))</f>
        <v>0</v>
      </c>
      <c r="CG99" s="385" t="n">
        <f aca="false">IF(81&lt;5,0,IF(MAX(CB96:CG96)&gt;CG97+0+$B$18,1,0))</f>
        <v>0</v>
      </c>
      <c r="CH99" s="385" t="n">
        <f aca="false">IF(82&lt;5,0,IF(MAX(CC96:CH96)&gt;CH97+0+$B$18,1,0))</f>
        <v>0</v>
      </c>
      <c r="CI99" s="385" t="n">
        <f aca="false">IF(83&lt;5,0,IF(MAX(CD96:CI96)&gt;CI97+0+$B$18,1,0))</f>
        <v>0</v>
      </c>
      <c r="CJ99" s="385" t="n">
        <f aca="false">IF(84&lt;5,0,IF(MAX(CE96:CJ96)&gt;CJ97+0+$B$18,1,0))</f>
        <v>0</v>
      </c>
      <c r="CK99" s="385" t="n">
        <f aca="false">IF(85&lt;5,0,IF(MAX(CF96:CK96)&gt;CK97+0+$B$18,1,0))</f>
        <v>0</v>
      </c>
      <c r="CL99" s="385" t="n">
        <f aca="false">IF(86&lt;5,0,IF(MAX(CG96:CL96)&gt;CL97+0+$B$18,1,0))</f>
        <v>0</v>
      </c>
      <c r="CM99" s="385" t="n">
        <f aca="false">IF(87&lt;5,0,IF(MAX(CH96:CM96)&gt;CM97+0+$B$18,1,0))</f>
        <v>0</v>
      </c>
      <c r="CN99" s="385" t="n">
        <f aca="false">IF(88&lt;5,0,IF(MAX(CI96:CN96)&gt;CN97+0+$B$18,1,0))</f>
        <v>0</v>
      </c>
      <c r="CO99" s="385" t="n">
        <f aca="false">IF(89&lt;5,0,IF(MAX(CJ96:CO96)&gt;CO97+0+$B$18,1,0))</f>
        <v>0</v>
      </c>
      <c r="CP99" s="385" t="n">
        <f aca="false">IF(90&lt;5,0,IF(MAX(CK96:CP96)&gt;CP97+0+$B$18,1,0))</f>
        <v>0</v>
      </c>
      <c r="CQ99" s="385" t="n">
        <f aca="false">IF(91&lt;5,0,IF(MAX(CL96:CQ96)&gt;CQ97+0+$B$18,1,0))</f>
        <v>0</v>
      </c>
      <c r="CR99" s="385" t="n">
        <f aca="false">IF(92&lt;5,0,IF(MAX(CM96:CR96)&gt;CR97+0+$B$18,1,0))</f>
        <v>0</v>
      </c>
      <c r="CS99" s="385" t="n">
        <f aca="false">IF(93&lt;5,0,IF(MAX(CN96:CS96)&gt;CS97+0+$B$18,1,0))</f>
        <v>0</v>
      </c>
      <c r="CT99" s="385" t="n">
        <f aca="false">IF(94&lt;5,0,IF(MAX(CO96:CT96)&gt;CT97+0+$B$18,1,0))</f>
        <v>0</v>
      </c>
      <c r="CU99" s="385" t="n">
        <f aca="false">IF(95&lt;5,0,IF(MAX(CP96:CU96)&gt;CU97+0+$B$18,1,0))</f>
        <v>0</v>
      </c>
      <c r="CV99" s="385" t="n">
        <f aca="false">IF(96&lt;5,0,IF(MAX(CQ96:CV96)&gt;CV97+0+$B$18,1,0))</f>
        <v>0</v>
      </c>
      <c r="CW99" s="385" t="n">
        <f aca="false">IF(97&lt;5,0,IF(MAX(CR96:CW96)&gt;CW97+0+$B$18,1,0))</f>
        <v>0</v>
      </c>
      <c r="CX99" s="385" t="n">
        <f aca="false">IF(98&lt;5,0,IF(MAX(CS96:CX96)&gt;CX97+0+$B$18,1,0))</f>
        <v>0</v>
      </c>
      <c r="CY99" s="385" t="n">
        <f aca="false">IF(99&lt;5,0,IF(MAX(CT96:CY96)&gt;CY97+0+$B$18,1,0))</f>
        <v>0</v>
      </c>
      <c r="CZ99" s="385" t="n">
        <f aca="false">IF(100&lt;5,0,IF(MAX(CU96:CZ96)&gt;CZ97+0+$B$18,1,0))</f>
        <v>0</v>
      </c>
      <c r="DA99" s="385" t="n">
        <f aca="false">IF(101&lt;5,0,IF(MAX(CV96:DA96)&gt;DA97+0+$B$18,1,0))</f>
        <v>0</v>
      </c>
      <c r="DB99" s="385" t="n">
        <f aca="false">IF(102&lt;5,0,IF(MAX(CW96:DB96)&gt;DB97+0+$B$18,1,0))</f>
        <v>0</v>
      </c>
      <c r="DC99" s="385" t="n">
        <f aca="false">IF(103&lt;5,0,IF(MAX(CX96:DC96)&gt;DC97+0+$B$18,1,0))</f>
        <v>0</v>
      </c>
      <c r="DD99" s="385" t="n">
        <f aca="false">IF(104&lt;5,0,IF(MAX(CY96:DD96)&gt;DD97+0+$B$18,1,0))</f>
        <v>0</v>
      </c>
      <c r="DE99" s="385" t="n">
        <f aca="false">IF(105&lt;5,0,IF(MAX(CZ96:DE96)&gt;DE97+0+$B$18,1,0))</f>
        <v>0</v>
      </c>
    </row>
    <row r="100" customFormat="false" ht="13.5" hidden="false" customHeight="true" outlineLevel="0" collapsed="false">
      <c r="A100" s="110" t="s">
        <v>1425</v>
      </c>
      <c r="B100" s="213" t="n">
        <f aca="false">$B$27</f>
        <v>125000</v>
      </c>
      <c r="E100" s="385" t="n">
        <f aca="false">IF(1&lt;5,0,IF(MAX(E96)&gt;E97+1+$B$18,1,0))</f>
        <v>0</v>
      </c>
      <c r="F100" s="385" t="n">
        <f aca="false">IF(2&lt;5,0,IF(MAX(E96:F96)&gt;F97+1+$B$18,1,0))</f>
        <v>0</v>
      </c>
      <c r="G100" s="385" t="n">
        <f aca="false">IF(3&lt;5,0,IF(MAX(E96:G96)&gt;G97+1+$B$18,1,0))</f>
        <v>0</v>
      </c>
      <c r="H100" s="385" t="n">
        <f aca="false">IF(4&lt;5,0,IF(MAX(E96:H96)&gt;H97+1+$B$18,1,0))</f>
        <v>0</v>
      </c>
      <c r="I100" s="385" t="n">
        <f aca="false">IF(5&lt;5,0,IF(MAX(E96:I96)&gt;I97+1+$B$18,1,0))</f>
        <v>0</v>
      </c>
      <c r="J100" s="385" t="n">
        <f aca="false">IF(6&lt;5,0,IF(MAX(E96:J96)&gt;J97+1+$B$18,1,0))</f>
        <v>0</v>
      </c>
      <c r="K100" s="385" t="n">
        <f aca="false">IF(7&lt;5,0,IF(MAX(F96:K96)&gt;K97+1+$B$18,1,0))</f>
        <v>0</v>
      </c>
      <c r="L100" s="385" t="n">
        <f aca="false">IF(8&lt;5,0,IF(MAX(G96:L96)&gt;L97+1+$B$18,1,0))</f>
        <v>0</v>
      </c>
      <c r="M100" s="385" t="n">
        <f aca="false">IF(9&lt;5,0,IF(MAX(H96:M96)&gt;M97+1+$B$18,1,0))</f>
        <v>0</v>
      </c>
      <c r="N100" s="385" t="n">
        <f aca="false">IF(10&lt;5,0,IF(MAX(I96:N96)&gt;N97+1+$B$18,1,0))</f>
        <v>0</v>
      </c>
      <c r="O100" s="385" t="n">
        <f aca="false">IF(11&lt;5,0,IF(MAX(J96:O96)&gt;O97+1+$B$18,1,0))</f>
        <v>1</v>
      </c>
      <c r="P100" s="385" t="n">
        <f aca="false">IF(12&lt;5,0,IF(MAX(K96:P96)&gt;P97+1+$B$18,1,0))</f>
        <v>1</v>
      </c>
      <c r="Q100" s="385" t="n">
        <f aca="false">IF(13&lt;5,0,IF(MAX(L96:Q96)&gt;Q97+1+$B$18,1,0))</f>
        <v>1</v>
      </c>
      <c r="R100" s="385" t="n">
        <f aca="false">IF(14&lt;5,0,IF(MAX(M96:R96)&gt;R97+1+$B$18,1,0))</f>
        <v>1</v>
      </c>
      <c r="S100" s="385" t="n">
        <f aca="false">IF(15&lt;5,0,IF(MAX(N96:S96)&gt;S97+1+$B$18,1,0))</f>
        <v>1</v>
      </c>
      <c r="T100" s="385" t="n">
        <f aca="false">IF(16&lt;5,0,IF(MAX(O96:T96)&gt;T97+1+$B$18,1,0))</f>
        <v>1</v>
      </c>
      <c r="U100" s="385" t="n">
        <f aca="false">IF(17&lt;5,0,IF(MAX(P96:U96)&gt;U97+1+$B$18,1,0))</f>
        <v>1</v>
      </c>
      <c r="V100" s="385" t="n">
        <f aca="false">IF(18&lt;5,0,IF(MAX(Q96:V96)&gt;V97+1+$B$18,1,0))</f>
        <v>1</v>
      </c>
      <c r="W100" s="385" t="n">
        <f aca="false">IF(19&lt;5,0,IF(MAX(R96:W96)&gt;W97+1+$B$18,1,0))</f>
        <v>1</v>
      </c>
      <c r="X100" s="385" t="n">
        <f aca="false">IF(20&lt;5,0,IF(MAX(S96:X96)&gt;X97+1+$B$18,1,0))</f>
        <v>1</v>
      </c>
      <c r="Y100" s="385" t="n">
        <f aca="false">IF(21&lt;5,0,IF(MAX(T96:Y96)&gt;Y97+1+$B$18,1,0))</f>
        <v>1</v>
      </c>
      <c r="Z100" s="385" t="n">
        <f aca="false">IF(22&lt;5,0,IF(MAX(U96:Z96)&gt;Z97+1+$B$18,1,0))</f>
        <v>0</v>
      </c>
      <c r="AA100" s="385" t="n">
        <f aca="false">IF(23&lt;5,0,IF(MAX(V96:AA96)&gt;AA97+1+$B$18,1,0))</f>
        <v>0</v>
      </c>
      <c r="AB100" s="385" t="n">
        <f aca="false">IF(24&lt;5,0,IF(MAX(W96:AB96)&gt;AB97+1+$B$18,1,0))</f>
        <v>0</v>
      </c>
      <c r="AC100" s="385" t="n">
        <f aca="false">IF(25&lt;5,0,IF(MAX(X96:AC96)&gt;AC97+1+$B$18,1,0))</f>
        <v>0</v>
      </c>
      <c r="AD100" s="385" t="n">
        <f aca="false">IF(26&lt;5,0,IF(MAX(Y96:AD96)&gt;AD97+1+$B$18,1,0))</f>
        <v>0</v>
      </c>
      <c r="AE100" s="385" t="n">
        <f aca="false">IF(27&lt;5,0,IF(MAX(Z96:AE96)&gt;AE97+1+$B$18,1,0))</f>
        <v>0</v>
      </c>
      <c r="AF100" s="385" t="n">
        <f aca="false">IF(28&lt;5,0,IF(MAX(AA96:AF96)&gt;AF97+1+$B$18,1,0))</f>
        <v>0</v>
      </c>
      <c r="AG100" s="385" t="n">
        <f aca="false">IF(29&lt;5,0,IF(MAX(AB96:AG96)&gt;AG97+1+$B$18,1,0))</f>
        <v>0</v>
      </c>
      <c r="AH100" s="385" t="n">
        <f aca="false">IF(30&lt;5,0,IF(MAX(AC96:AH96)&gt;AH97+1+$B$18,1,0))</f>
        <v>0</v>
      </c>
      <c r="AI100" s="385" t="n">
        <f aca="false">IF(31&lt;5,0,IF(MAX(AD96:AI96)&gt;AI97+1+$B$18,1,0))</f>
        <v>0</v>
      </c>
      <c r="AJ100" s="385" t="n">
        <f aca="false">IF(32&lt;5,0,IF(MAX(AE96:AJ96)&gt;AJ97+1+$B$18,1,0))</f>
        <v>0</v>
      </c>
      <c r="AK100" s="385" t="n">
        <f aca="false">IF(33&lt;5,0,IF(MAX(AF96:AK96)&gt;AK97+1+$B$18,1,0))</f>
        <v>0</v>
      </c>
      <c r="AL100" s="385" t="n">
        <f aca="false">IF(34&lt;5,0,IF(MAX(AG96:AL96)&gt;AL97+1+$B$18,1,0))</f>
        <v>0</v>
      </c>
      <c r="AM100" s="385" t="n">
        <f aca="false">IF(35&lt;5,0,IF(MAX(AH96:AM96)&gt;AM97+1+$B$18,1,0))</f>
        <v>0</v>
      </c>
      <c r="AN100" s="385" t="n">
        <f aca="false">IF(36&lt;5,0,IF(MAX(AI96:AN96)&gt;AN97+1+$B$18,1,0))</f>
        <v>0</v>
      </c>
      <c r="AO100" s="385" t="n">
        <f aca="false">IF(37&lt;5,0,IF(MAX(AJ96:AO96)&gt;AO97+1+$B$18,1,0))</f>
        <v>0</v>
      </c>
      <c r="AP100" s="385" t="n">
        <f aca="false">IF(38&lt;5,0,IF(MAX(AK96:AP96)&gt;AP97+1+$B$18,1,0))</f>
        <v>0</v>
      </c>
      <c r="AQ100" s="385" t="n">
        <f aca="false">IF(39&lt;5,0,IF(MAX(AL96:AQ96)&gt;AQ97+1+$B$18,1,0))</f>
        <v>0</v>
      </c>
      <c r="AR100" s="385" t="n">
        <f aca="false">IF(40&lt;5,0,IF(MAX(AM96:AR96)&gt;AR97+1+$B$18,1,0))</f>
        <v>0</v>
      </c>
      <c r="AS100" s="385" t="n">
        <f aca="false">IF(41&lt;5,0,IF(MAX(AN96:AS96)&gt;AS97+1+$B$18,1,0))</f>
        <v>0</v>
      </c>
      <c r="AT100" s="385" t="n">
        <f aca="false">IF(42&lt;5,0,IF(MAX(AO96:AT96)&gt;AT97+1+$B$18,1,0))</f>
        <v>0</v>
      </c>
      <c r="AU100" s="385" t="n">
        <f aca="false">IF(43&lt;5,0,IF(MAX(AP96:AU96)&gt;AU97+1+$B$18,1,0))</f>
        <v>0</v>
      </c>
      <c r="AV100" s="385" t="n">
        <f aca="false">IF(44&lt;5,0,IF(MAX(AQ96:AV96)&gt;AV97+1+$B$18,1,0))</f>
        <v>0</v>
      </c>
      <c r="AW100" s="385" t="n">
        <f aca="false">IF(45&lt;5,0,IF(MAX(AR96:AW96)&gt;AW97+1+$B$18,1,0))</f>
        <v>0</v>
      </c>
      <c r="AX100" s="385" t="n">
        <f aca="false">IF(46&lt;5,0,IF(MAX(AS96:AX96)&gt;AX97+1+$B$18,1,0))</f>
        <v>0</v>
      </c>
      <c r="AY100" s="385" t="n">
        <f aca="false">IF(47&lt;5,0,IF(MAX(AT96:AY96)&gt;AY97+1+$B$18,1,0))</f>
        <v>0</v>
      </c>
      <c r="AZ100" s="385" t="n">
        <f aca="false">IF(48&lt;5,0,IF(MAX(AU96:AZ96)&gt;AZ97+1+$B$18,1,0))</f>
        <v>0</v>
      </c>
      <c r="BA100" s="385" t="n">
        <f aca="false">IF(49&lt;5,0,IF(MAX(AV96:BA96)&gt;BA97+1+$B$18,1,0))</f>
        <v>0</v>
      </c>
      <c r="BB100" s="385" t="n">
        <f aca="false">IF(50&lt;5,0,IF(MAX(AW96:BB96)&gt;BB97+1+$B$18,1,0))</f>
        <v>0</v>
      </c>
      <c r="BC100" s="385" t="n">
        <f aca="false">IF(51&lt;5,0,IF(MAX(AX96:BC96)&gt;BC97+1+$B$18,1,0))</f>
        <v>0</v>
      </c>
      <c r="BD100" s="385" t="n">
        <f aca="false">IF(52&lt;5,0,IF(MAX(AY96:BD96)&gt;BD97+1+$B$18,1,0))</f>
        <v>0</v>
      </c>
      <c r="BE100" s="385" t="n">
        <f aca="false">IF(53&lt;5,0,IF(MAX(AZ96:BE96)&gt;BE97+1+$B$18,1,0))</f>
        <v>0</v>
      </c>
      <c r="BF100" s="385" t="n">
        <f aca="false">IF(54&lt;5,0,IF(MAX(BA96:BF96)&gt;BF97+1+$B$18,1,0))</f>
        <v>0</v>
      </c>
      <c r="BG100" s="385" t="n">
        <f aca="false">IF(55&lt;5,0,IF(MAX(BB96:BG96)&gt;BG97+1+$B$18,1,0))</f>
        <v>0</v>
      </c>
      <c r="BH100" s="385" t="n">
        <f aca="false">IF(56&lt;5,0,IF(MAX(BC96:BH96)&gt;BH97+1+$B$18,1,0))</f>
        <v>0</v>
      </c>
      <c r="BI100" s="385" t="n">
        <f aca="false">IF(57&lt;5,0,IF(MAX(BD96:BI96)&gt;BI97+1+$B$18,1,0))</f>
        <v>0</v>
      </c>
      <c r="BJ100" s="385" t="n">
        <f aca="false">IF(58&lt;5,0,IF(MAX(BE96:BJ96)&gt;BJ97+1+$B$18,1,0))</f>
        <v>0</v>
      </c>
      <c r="BK100" s="385" t="n">
        <f aca="false">IF(59&lt;5,0,IF(MAX(BF96:BK96)&gt;BK97+1+$B$18,1,0))</f>
        <v>0</v>
      </c>
      <c r="BL100" s="385" t="n">
        <f aca="false">IF(60&lt;5,0,IF(MAX(BG96:BL96)&gt;BL97+1+$B$18,1,0))</f>
        <v>0</v>
      </c>
      <c r="BM100" s="385" t="n">
        <f aca="false">IF(61&lt;5,0,IF(MAX(BH96:BM96)&gt;BM97+1+$B$18,1,0))</f>
        <v>0</v>
      </c>
      <c r="BN100" s="385" t="n">
        <f aca="false">IF(62&lt;5,0,IF(MAX(BI96:BN96)&gt;BN97+1+$B$18,1,0))</f>
        <v>0</v>
      </c>
      <c r="BO100" s="385" t="n">
        <f aca="false">IF(63&lt;5,0,IF(MAX(BJ96:BO96)&gt;BO97+1+$B$18,1,0))</f>
        <v>0</v>
      </c>
      <c r="BP100" s="385" t="n">
        <f aca="false">IF(64&lt;5,0,IF(MAX(BK96:BP96)&gt;BP97+1+$B$18,1,0))</f>
        <v>0</v>
      </c>
      <c r="BQ100" s="385" t="n">
        <f aca="false">IF(65&lt;5,0,IF(MAX(BL96:BQ96)&gt;BQ97+1+$B$18,1,0))</f>
        <v>0</v>
      </c>
      <c r="BR100" s="385" t="n">
        <f aca="false">IF(66&lt;5,0,IF(MAX(BM96:BR96)&gt;BR97+1+$B$18,1,0))</f>
        <v>0</v>
      </c>
      <c r="BS100" s="385" t="n">
        <f aca="false">IF(67&lt;5,0,IF(MAX(BN96:BS96)&gt;BS97+1+$B$18,1,0))</f>
        <v>0</v>
      </c>
      <c r="BT100" s="385" t="n">
        <f aca="false">IF(68&lt;5,0,IF(MAX(BO96:BT96)&gt;BT97+1+$B$18,1,0))</f>
        <v>0</v>
      </c>
      <c r="BU100" s="385" t="n">
        <f aca="false">IF(69&lt;5,0,IF(MAX(BP96:BU96)&gt;BU97+1+$B$18,1,0))</f>
        <v>0</v>
      </c>
      <c r="BV100" s="385" t="n">
        <f aca="false">IF(70&lt;5,0,IF(MAX(BQ96:BV96)&gt;BV97+1+$B$18,1,0))</f>
        <v>0</v>
      </c>
      <c r="BW100" s="385" t="n">
        <f aca="false">IF(71&lt;5,0,IF(MAX(BR96:BW96)&gt;BW97+1+$B$18,1,0))</f>
        <v>0</v>
      </c>
      <c r="BX100" s="385" t="n">
        <f aca="false">IF(72&lt;5,0,IF(MAX(BS96:BX96)&gt;BX97+1+$B$18,1,0))</f>
        <v>0</v>
      </c>
      <c r="BY100" s="385" t="n">
        <f aca="false">IF(73&lt;5,0,IF(MAX(BT96:BY96)&gt;BY97+1+$B$18,1,0))</f>
        <v>0</v>
      </c>
      <c r="BZ100" s="385" t="n">
        <f aca="false">IF(74&lt;5,0,IF(MAX(BU96:BZ96)&gt;BZ97+1+$B$18,1,0))</f>
        <v>0</v>
      </c>
      <c r="CA100" s="385" t="n">
        <f aca="false">IF(75&lt;5,0,IF(MAX(BV96:CA96)&gt;CA97+1+$B$18,1,0))</f>
        <v>0</v>
      </c>
      <c r="CB100" s="385" t="n">
        <f aca="false">IF(76&lt;5,0,IF(MAX(BW96:CB96)&gt;CB97+1+$B$18,1,0))</f>
        <v>0</v>
      </c>
      <c r="CC100" s="385" t="n">
        <f aca="false">IF(77&lt;5,0,IF(MAX(BX96:CC96)&gt;CC97+1+$B$18,1,0))</f>
        <v>0</v>
      </c>
      <c r="CD100" s="385" t="n">
        <f aca="false">IF(78&lt;5,0,IF(MAX(BY96:CD96)&gt;CD97+1+$B$18,1,0))</f>
        <v>0</v>
      </c>
      <c r="CE100" s="385" t="n">
        <f aca="false">IF(79&lt;5,0,IF(MAX(BZ96:CE96)&gt;CE97+1+$B$18,1,0))</f>
        <v>0</v>
      </c>
      <c r="CF100" s="385" t="n">
        <f aca="false">IF(80&lt;5,0,IF(MAX(CA96:CF96)&gt;CF97+1+$B$18,1,0))</f>
        <v>0</v>
      </c>
      <c r="CG100" s="385" t="n">
        <f aca="false">IF(81&lt;5,0,IF(MAX(CB96:CG96)&gt;CG97+1+$B$18,1,0))</f>
        <v>0</v>
      </c>
      <c r="CH100" s="385" t="n">
        <f aca="false">IF(82&lt;5,0,IF(MAX(CC96:CH96)&gt;CH97+1+$B$18,1,0))</f>
        <v>0</v>
      </c>
      <c r="CI100" s="385" t="n">
        <f aca="false">IF(83&lt;5,0,IF(MAX(CD96:CI96)&gt;CI97+1+$B$18,1,0))</f>
        <v>0</v>
      </c>
      <c r="CJ100" s="385" t="n">
        <f aca="false">IF(84&lt;5,0,IF(MAX(CE96:CJ96)&gt;CJ97+1+$B$18,1,0))</f>
        <v>0</v>
      </c>
      <c r="CK100" s="385" t="n">
        <f aca="false">IF(85&lt;5,0,IF(MAX(CF96:CK96)&gt;CK97+1+$B$18,1,0))</f>
        <v>0</v>
      </c>
      <c r="CL100" s="385" t="n">
        <f aca="false">IF(86&lt;5,0,IF(MAX(CG96:CL96)&gt;CL97+1+$B$18,1,0))</f>
        <v>0</v>
      </c>
      <c r="CM100" s="385" t="n">
        <f aca="false">IF(87&lt;5,0,IF(MAX(CH96:CM96)&gt;CM97+1+$B$18,1,0))</f>
        <v>0</v>
      </c>
      <c r="CN100" s="385" t="n">
        <f aca="false">IF(88&lt;5,0,IF(MAX(CI96:CN96)&gt;CN97+1+$B$18,1,0))</f>
        <v>0</v>
      </c>
      <c r="CO100" s="385" t="n">
        <f aca="false">IF(89&lt;5,0,IF(MAX(CJ96:CO96)&gt;CO97+1+$B$18,1,0))</f>
        <v>0</v>
      </c>
      <c r="CP100" s="385" t="n">
        <f aca="false">IF(90&lt;5,0,IF(MAX(CK96:CP96)&gt;CP97+1+$B$18,1,0))</f>
        <v>0</v>
      </c>
      <c r="CQ100" s="385" t="n">
        <f aca="false">IF(91&lt;5,0,IF(MAX(CL96:CQ96)&gt;CQ97+1+$B$18,1,0))</f>
        <v>0</v>
      </c>
      <c r="CR100" s="385" t="n">
        <f aca="false">IF(92&lt;5,0,IF(MAX(CM96:CR96)&gt;CR97+1+$B$18,1,0))</f>
        <v>0</v>
      </c>
      <c r="CS100" s="385" t="n">
        <f aca="false">IF(93&lt;5,0,IF(MAX(CN96:CS96)&gt;CS97+1+$B$18,1,0))</f>
        <v>0</v>
      </c>
      <c r="CT100" s="385" t="n">
        <f aca="false">IF(94&lt;5,0,IF(MAX(CO96:CT96)&gt;CT97+1+$B$18,1,0))</f>
        <v>0</v>
      </c>
      <c r="CU100" s="385" t="n">
        <f aca="false">IF(95&lt;5,0,IF(MAX(CP96:CU96)&gt;CU97+1+$B$18,1,0))</f>
        <v>0</v>
      </c>
      <c r="CV100" s="385" t="n">
        <f aca="false">IF(96&lt;5,0,IF(MAX(CQ96:CV96)&gt;CV97+1+$B$18,1,0))</f>
        <v>0</v>
      </c>
      <c r="CW100" s="385" t="n">
        <f aca="false">IF(97&lt;5,0,IF(MAX(CR96:CW96)&gt;CW97+1+$B$18,1,0))</f>
        <v>0</v>
      </c>
      <c r="CX100" s="385" t="n">
        <f aca="false">IF(98&lt;5,0,IF(MAX(CS96:CX96)&gt;CX97+1+$B$18,1,0))</f>
        <v>0</v>
      </c>
      <c r="CY100" s="385" t="n">
        <f aca="false">IF(99&lt;5,0,IF(MAX(CT96:CY96)&gt;CY97+1+$B$18,1,0))</f>
        <v>0</v>
      </c>
      <c r="CZ100" s="385" t="n">
        <f aca="false">IF(100&lt;5,0,IF(MAX(CU96:CZ96)&gt;CZ97+1+$B$18,1,0))</f>
        <v>0</v>
      </c>
      <c r="DA100" s="385" t="n">
        <f aca="false">IF(101&lt;5,0,IF(MAX(CV96:DA96)&gt;DA97+1+$B$18,1,0))</f>
        <v>0</v>
      </c>
      <c r="DB100" s="385" t="n">
        <f aca="false">IF(102&lt;5,0,IF(MAX(CW96:DB96)&gt;DB97+1+$B$18,1,0))</f>
        <v>0</v>
      </c>
      <c r="DC100" s="385" t="n">
        <f aca="false">IF(103&lt;5,0,IF(MAX(CX96:DC96)&gt;DC97+1+$B$18,1,0))</f>
        <v>0</v>
      </c>
      <c r="DD100" s="385" t="n">
        <f aca="false">IF(104&lt;5,0,IF(MAX(CY96:DD96)&gt;DD97+1+$B$18,1,0))</f>
        <v>0</v>
      </c>
      <c r="DE100" s="385" t="n">
        <f aca="false">IF(105&lt;5,0,IF(MAX(CZ96:DE96)&gt;DE97+1+$B$18,1,0))</f>
        <v>0</v>
      </c>
    </row>
    <row r="101" customFormat="false" ht="13.5" hidden="false" customHeight="true" outlineLevel="0" collapsed="false">
      <c r="A101" s="110" t="s">
        <v>1426</v>
      </c>
      <c r="B101" s="213" t="n">
        <f aca="false">$B$27</f>
        <v>125000</v>
      </c>
      <c r="E101" s="385" t="n">
        <f aca="false">IF(1&lt;5,0,IF(MAX(E96)&gt;E97+2+$B$18,1,0))</f>
        <v>0</v>
      </c>
      <c r="F101" s="385" t="n">
        <f aca="false">IF(2&lt;5,0,IF(MAX(E96:F96)&gt;F97+2+$B$18,1,0))</f>
        <v>0</v>
      </c>
      <c r="G101" s="385" t="n">
        <f aca="false">IF(3&lt;5,0,IF(MAX(E96:G96)&gt;G97+2+$B$18,1,0))</f>
        <v>0</v>
      </c>
      <c r="H101" s="385" t="n">
        <f aca="false">IF(4&lt;5,0,IF(MAX(E96:H96)&gt;H97+2+$B$18,1,0))</f>
        <v>0</v>
      </c>
      <c r="I101" s="385" t="n">
        <f aca="false">IF(5&lt;5,0,IF(MAX(E96:I96)&gt;I97+2+$B$18,1,0))</f>
        <v>0</v>
      </c>
      <c r="J101" s="385" t="n">
        <f aca="false">IF(6&lt;5,0,IF(MAX(E96:J96)&gt;J97+2+$B$18,1,0))</f>
        <v>0</v>
      </c>
      <c r="K101" s="385" t="n">
        <f aca="false">IF(7&lt;5,0,IF(MAX(F96:K96)&gt;K97+2+$B$18,1,0))</f>
        <v>0</v>
      </c>
      <c r="L101" s="385" t="n">
        <f aca="false">IF(8&lt;5,0,IF(MAX(G96:L96)&gt;L97+2+$B$18,1,0))</f>
        <v>0</v>
      </c>
      <c r="M101" s="385" t="n">
        <f aca="false">IF(9&lt;5,0,IF(MAX(H96:M96)&gt;M97+2+$B$18,1,0))</f>
        <v>0</v>
      </c>
      <c r="N101" s="385" t="n">
        <f aca="false">IF(10&lt;5,0,IF(MAX(I96:N96)&gt;N97+2+$B$18,1,0))</f>
        <v>0</v>
      </c>
      <c r="O101" s="385" t="n">
        <f aca="false">IF(11&lt;5,0,IF(MAX(J96:O96)&gt;O97+2+$B$18,1,0))</f>
        <v>0</v>
      </c>
      <c r="P101" s="385" t="n">
        <f aca="false">IF(12&lt;5,0,IF(MAX(K96:P96)&gt;P97+2+$B$18,1,0))</f>
        <v>0</v>
      </c>
      <c r="Q101" s="385" t="n">
        <f aca="false">IF(13&lt;5,0,IF(MAX(L96:Q96)&gt;Q97+2+$B$18,1,0))</f>
        <v>0</v>
      </c>
      <c r="R101" s="385" t="n">
        <f aca="false">IF(14&lt;5,0,IF(MAX(M96:R96)&gt;R97+2+$B$18,1,0))</f>
        <v>0</v>
      </c>
      <c r="S101" s="385" t="n">
        <f aca="false">IF(15&lt;5,0,IF(MAX(N96:S96)&gt;S97+2+$B$18,1,0))</f>
        <v>0</v>
      </c>
      <c r="T101" s="385" t="n">
        <f aca="false">IF(16&lt;5,0,IF(MAX(O96:T96)&gt;T97+2+$B$18,1,0))</f>
        <v>0</v>
      </c>
      <c r="U101" s="385" t="n">
        <f aca="false">IF(17&lt;5,0,IF(MAX(P96:U96)&gt;U97+2+$B$18,1,0))</f>
        <v>0</v>
      </c>
      <c r="V101" s="385" t="n">
        <f aca="false">IF(18&lt;5,0,IF(MAX(Q96:V96)&gt;V97+2+$B$18,1,0))</f>
        <v>0</v>
      </c>
      <c r="W101" s="385" t="n">
        <f aca="false">IF(19&lt;5,0,IF(MAX(R96:W96)&gt;W97+2+$B$18,1,0))</f>
        <v>0</v>
      </c>
      <c r="X101" s="385" t="n">
        <f aca="false">IF(20&lt;5,0,IF(MAX(S96:X96)&gt;X97+2+$B$18,1,0))</f>
        <v>0</v>
      </c>
      <c r="Y101" s="385" t="n">
        <f aca="false">IF(21&lt;5,0,IF(MAX(T96:Y96)&gt;Y97+2+$B$18,1,0))</f>
        <v>0</v>
      </c>
      <c r="Z101" s="385" t="n">
        <f aca="false">IF(22&lt;5,0,IF(MAX(U96:Z96)&gt;Z97+2+$B$18,1,0))</f>
        <v>0</v>
      </c>
      <c r="AA101" s="385" t="n">
        <f aca="false">IF(23&lt;5,0,IF(MAX(V96:AA96)&gt;AA97+2+$B$18,1,0))</f>
        <v>0</v>
      </c>
      <c r="AB101" s="385" t="n">
        <f aca="false">IF(24&lt;5,0,IF(MAX(W96:AB96)&gt;AB97+2+$B$18,1,0))</f>
        <v>0</v>
      </c>
      <c r="AC101" s="385" t="n">
        <f aca="false">IF(25&lt;5,0,IF(MAX(X96:AC96)&gt;AC97+2+$B$18,1,0))</f>
        <v>0</v>
      </c>
      <c r="AD101" s="385" t="n">
        <f aca="false">IF(26&lt;5,0,IF(MAX(Y96:AD96)&gt;AD97+2+$B$18,1,0))</f>
        <v>0</v>
      </c>
      <c r="AE101" s="385" t="n">
        <f aca="false">IF(27&lt;5,0,IF(MAX(Z96:AE96)&gt;AE97+2+$B$18,1,0))</f>
        <v>0</v>
      </c>
      <c r="AF101" s="385" t="n">
        <f aca="false">IF(28&lt;5,0,IF(MAX(AA96:AF96)&gt;AF97+2+$B$18,1,0))</f>
        <v>0</v>
      </c>
      <c r="AG101" s="385" t="n">
        <f aca="false">IF(29&lt;5,0,IF(MAX(AB96:AG96)&gt;AG97+2+$B$18,1,0))</f>
        <v>0</v>
      </c>
      <c r="AH101" s="385" t="n">
        <f aca="false">IF(30&lt;5,0,IF(MAX(AC96:AH96)&gt;AH97+2+$B$18,1,0))</f>
        <v>0</v>
      </c>
      <c r="AI101" s="385" t="n">
        <f aca="false">IF(31&lt;5,0,IF(MAX(AD96:AI96)&gt;AI97+2+$B$18,1,0))</f>
        <v>0</v>
      </c>
      <c r="AJ101" s="385" t="n">
        <f aca="false">IF(32&lt;5,0,IF(MAX(AE96:AJ96)&gt;AJ97+2+$B$18,1,0))</f>
        <v>0</v>
      </c>
      <c r="AK101" s="385" t="n">
        <f aca="false">IF(33&lt;5,0,IF(MAX(AF96:AK96)&gt;AK97+2+$B$18,1,0))</f>
        <v>0</v>
      </c>
      <c r="AL101" s="385" t="n">
        <f aca="false">IF(34&lt;5,0,IF(MAX(AG96:AL96)&gt;AL97+2+$B$18,1,0))</f>
        <v>0</v>
      </c>
      <c r="AM101" s="385" t="n">
        <f aca="false">IF(35&lt;5,0,IF(MAX(AH96:AM96)&gt;AM97+2+$B$18,1,0))</f>
        <v>0</v>
      </c>
      <c r="AN101" s="385" t="n">
        <f aca="false">IF(36&lt;5,0,IF(MAX(AI96:AN96)&gt;AN97+2+$B$18,1,0))</f>
        <v>0</v>
      </c>
      <c r="AO101" s="385" t="n">
        <f aca="false">IF(37&lt;5,0,IF(MAX(AJ96:AO96)&gt;AO97+2+$B$18,1,0))</f>
        <v>0</v>
      </c>
      <c r="AP101" s="385" t="n">
        <f aca="false">IF(38&lt;5,0,IF(MAX(AK96:AP96)&gt;AP97+2+$B$18,1,0))</f>
        <v>0</v>
      </c>
      <c r="AQ101" s="385" t="n">
        <f aca="false">IF(39&lt;5,0,IF(MAX(AL96:AQ96)&gt;AQ97+2+$B$18,1,0))</f>
        <v>0</v>
      </c>
      <c r="AR101" s="385" t="n">
        <f aca="false">IF(40&lt;5,0,IF(MAX(AM96:AR96)&gt;AR97+2+$B$18,1,0))</f>
        <v>0</v>
      </c>
      <c r="AS101" s="385" t="n">
        <f aca="false">IF(41&lt;5,0,IF(MAX(AN96:AS96)&gt;AS97+2+$B$18,1,0))</f>
        <v>0</v>
      </c>
      <c r="AT101" s="385" t="n">
        <f aca="false">IF(42&lt;5,0,IF(MAX(AO96:AT96)&gt;AT97+2+$B$18,1,0))</f>
        <v>0</v>
      </c>
      <c r="AU101" s="385" t="n">
        <f aca="false">IF(43&lt;5,0,IF(MAX(AP96:AU96)&gt;AU97+2+$B$18,1,0))</f>
        <v>0</v>
      </c>
      <c r="AV101" s="385" t="n">
        <f aca="false">IF(44&lt;5,0,IF(MAX(AQ96:AV96)&gt;AV97+2+$B$18,1,0))</f>
        <v>0</v>
      </c>
      <c r="AW101" s="385" t="n">
        <f aca="false">IF(45&lt;5,0,IF(MAX(AR96:AW96)&gt;AW97+2+$B$18,1,0))</f>
        <v>0</v>
      </c>
      <c r="AX101" s="385" t="n">
        <f aca="false">IF(46&lt;5,0,IF(MAX(AS96:AX96)&gt;AX97+2+$B$18,1,0))</f>
        <v>0</v>
      </c>
      <c r="AY101" s="385" t="n">
        <f aca="false">IF(47&lt;5,0,IF(MAX(AT96:AY96)&gt;AY97+2+$B$18,1,0))</f>
        <v>0</v>
      </c>
      <c r="AZ101" s="385" t="n">
        <f aca="false">IF(48&lt;5,0,IF(MAX(AU96:AZ96)&gt;AZ97+2+$B$18,1,0))</f>
        <v>0</v>
      </c>
      <c r="BA101" s="385" t="n">
        <f aca="false">IF(49&lt;5,0,IF(MAX(AV96:BA96)&gt;BA97+2+$B$18,1,0))</f>
        <v>0</v>
      </c>
      <c r="BB101" s="385" t="n">
        <f aca="false">IF(50&lt;5,0,IF(MAX(AW96:BB96)&gt;BB97+2+$B$18,1,0))</f>
        <v>0</v>
      </c>
      <c r="BC101" s="385" t="n">
        <f aca="false">IF(51&lt;5,0,IF(MAX(AX96:BC96)&gt;BC97+2+$B$18,1,0))</f>
        <v>0</v>
      </c>
      <c r="BD101" s="385" t="n">
        <f aca="false">IF(52&lt;5,0,IF(MAX(AY96:BD96)&gt;BD97+2+$B$18,1,0))</f>
        <v>0</v>
      </c>
      <c r="BE101" s="385" t="n">
        <f aca="false">IF(53&lt;5,0,IF(MAX(AZ96:BE96)&gt;BE97+2+$B$18,1,0))</f>
        <v>0</v>
      </c>
      <c r="BF101" s="385" t="n">
        <f aca="false">IF(54&lt;5,0,IF(MAX(BA96:BF96)&gt;BF97+2+$B$18,1,0))</f>
        <v>0</v>
      </c>
      <c r="BG101" s="385" t="n">
        <f aca="false">IF(55&lt;5,0,IF(MAX(BB96:BG96)&gt;BG97+2+$B$18,1,0))</f>
        <v>0</v>
      </c>
      <c r="BH101" s="385" t="n">
        <f aca="false">IF(56&lt;5,0,IF(MAX(BC96:BH96)&gt;BH97+2+$B$18,1,0))</f>
        <v>0</v>
      </c>
      <c r="BI101" s="385" t="n">
        <f aca="false">IF(57&lt;5,0,IF(MAX(BD96:BI96)&gt;BI97+2+$B$18,1,0))</f>
        <v>0</v>
      </c>
      <c r="BJ101" s="385" t="n">
        <f aca="false">IF(58&lt;5,0,IF(MAX(BE96:BJ96)&gt;BJ97+2+$B$18,1,0))</f>
        <v>0</v>
      </c>
      <c r="BK101" s="385" t="n">
        <f aca="false">IF(59&lt;5,0,IF(MAX(BF96:BK96)&gt;BK97+2+$B$18,1,0))</f>
        <v>0</v>
      </c>
      <c r="BL101" s="385" t="n">
        <f aca="false">IF(60&lt;5,0,IF(MAX(BG96:BL96)&gt;BL97+2+$B$18,1,0))</f>
        <v>0</v>
      </c>
      <c r="BM101" s="385" t="n">
        <f aca="false">IF(61&lt;5,0,IF(MAX(BH96:BM96)&gt;BM97+2+$B$18,1,0))</f>
        <v>0</v>
      </c>
      <c r="BN101" s="385" t="n">
        <f aca="false">IF(62&lt;5,0,IF(MAX(BI96:BN96)&gt;BN97+2+$B$18,1,0))</f>
        <v>0</v>
      </c>
      <c r="BO101" s="385" t="n">
        <f aca="false">IF(63&lt;5,0,IF(MAX(BJ96:BO96)&gt;BO97+2+$B$18,1,0))</f>
        <v>0</v>
      </c>
      <c r="BP101" s="385" t="n">
        <f aca="false">IF(64&lt;5,0,IF(MAX(BK96:BP96)&gt;BP97+2+$B$18,1,0))</f>
        <v>0</v>
      </c>
      <c r="BQ101" s="385" t="n">
        <f aca="false">IF(65&lt;5,0,IF(MAX(BL96:BQ96)&gt;BQ97+2+$B$18,1,0))</f>
        <v>0</v>
      </c>
      <c r="BR101" s="385" t="n">
        <f aca="false">IF(66&lt;5,0,IF(MAX(BM96:BR96)&gt;BR97+2+$B$18,1,0))</f>
        <v>0</v>
      </c>
      <c r="BS101" s="385" t="n">
        <f aca="false">IF(67&lt;5,0,IF(MAX(BN96:BS96)&gt;BS97+2+$B$18,1,0))</f>
        <v>0</v>
      </c>
      <c r="BT101" s="385" t="n">
        <f aca="false">IF(68&lt;5,0,IF(MAX(BO96:BT96)&gt;BT97+2+$B$18,1,0))</f>
        <v>0</v>
      </c>
      <c r="BU101" s="385" t="n">
        <f aca="false">IF(69&lt;5,0,IF(MAX(BP96:BU96)&gt;BU97+2+$B$18,1,0))</f>
        <v>0</v>
      </c>
      <c r="BV101" s="385" t="n">
        <f aca="false">IF(70&lt;5,0,IF(MAX(BQ96:BV96)&gt;BV97+2+$B$18,1,0))</f>
        <v>0</v>
      </c>
      <c r="BW101" s="385" t="n">
        <f aca="false">IF(71&lt;5,0,IF(MAX(BR96:BW96)&gt;BW97+2+$B$18,1,0))</f>
        <v>0</v>
      </c>
      <c r="BX101" s="385" t="n">
        <f aca="false">IF(72&lt;5,0,IF(MAX(BS96:BX96)&gt;BX97+2+$B$18,1,0))</f>
        <v>0</v>
      </c>
      <c r="BY101" s="385" t="n">
        <f aca="false">IF(73&lt;5,0,IF(MAX(BT96:BY96)&gt;BY97+2+$B$18,1,0))</f>
        <v>0</v>
      </c>
      <c r="BZ101" s="385" t="n">
        <f aca="false">IF(74&lt;5,0,IF(MAX(BU96:BZ96)&gt;BZ97+2+$B$18,1,0))</f>
        <v>0</v>
      </c>
      <c r="CA101" s="385" t="n">
        <f aca="false">IF(75&lt;5,0,IF(MAX(BV96:CA96)&gt;CA97+2+$B$18,1,0))</f>
        <v>0</v>
      </c>
      <c r="CB101" s="385" t="n">
        <f aca="false">IF(76&lt;5,0,IF(MAX(BW96:CB96)&gt;CB97+2+$B$18,1,0))</f>
        <v>0</v>
      </c>
      <c r="CC101" s="385" t="n">
        <f aca="false">IF(77&lt;5,0,IF(MAX(BX96:CC96)&gt;CC97+2+$B$18,1,0))</f>
        <v>0</v>
      </c>
      <c r="CD101" s="385" t="n">
        <f aca="false">IF(78&lt;5,0,IF(MAX(BY96:CD96)&gt;CD97+2+$B$18,1,0))</f>
        <v>0</v>
      </c>
      <c r="CE101" s="385" t="n">
        <f aca="false">IF(79&lt;5,0,IF(MAX(BZ96:CE96)&gt;CE97+2+$B$18,1,0))</f>
        <v>0</v>
      </c>
      <c r="CF101" s="385" t="n">
        <f aca="false">IF(80&lt;5,0,IF(MAX(CA96:CF96)&gt;CF97+2+$B$18,1,0))</f>
        <v>0</v>
      </c>
      <c r="CG101" s="385" t="n">
        <f aca="false">IF(81&lt;5,0,IF(MAX(CB96:CG96)&gt;CG97+2+$B$18,1,0))</f>
        <v>0</v>
      </c>
      <c r="CH101" s="385" t="n">
        <f aca="false">IF(82&lt;5,0,IF(MAX(CC96:CH96)&gt;CH97+2+$B$18,1,0))</f>
        <v>0</v>
      </c>
      <c r="CI101" s="385" t="n">
        <f aca="false">IF(83&lt;5,0,IF(MAX(CD96:CI96)&gt;CI97+2+$B$18,1,0))</f>
        <v>0</v>
      </c>
      <c r="CJ101" s="385" t="n">
        <f aca="false">IF(84&lt;5,0,IF(MAX(CE96:CJ96)&gt;CJ97+2+$B$18,1,0))</f>
        <v>0</v>
      </c>
      <c r="CK101" s="385" t="n">
        <f aca="false">IF(85&lt;5,0,IF(MAX(CF96:CK96)&gt;CK97+2+$B$18,1,0))</f>
        <v>0</v>
      </c>
      <c r="CL101" s="385" t="n">
        <f aca="false">IF(86&lt;5,0,IF(MAX(CG96:CL96)&gt;CL97+2+$B$18,1,0))</f>
        <v>0</v>
      </c>
      <c r="CM101" s="385" t="n">
        <f aca="false">IF(87&lt;5,0,IF(MAX(CH96:CM96)&gt;CM97+2+$B$18,1,0))</f>
        <v>0</v>
      </c>
      <c r="CN101" s="385" t="n">
        <f aca="false">IF(88&lt;5,0,IF(MAX(CI96:CN96)&gt;CN97+2+$B$18,1,0))</f>
        <v>0</v>
      </c>
      <c r="CO101" s="385" t="n">
        <f aca="false">IF(89&lt;5,0,IF(MAX(CJ96:CO96)&gt;CO97+2+$B$18,1,0))</f>
        <v>0</v>
      </c>
      <c r="CP101" s="385" t="n">
        <f aca="false">IF(90&lt;5,0,IF(MAX(CK96:CP96)&gt;CP97+2+$B$18,1,0))</f>
        <v>0</v>
      </c>
      <c r="CQ101" s="385" t="n">
        <f aca="false">IF(91&lt;5,0,IF(MAX(CL96:CQ96)&gt;CQ97+2+$B$18,1,0))</f>
        <v>0</v>
      </c>
      <c r="CR101" s="385" t="n">
        <f aca="false">IF(92&lt;5,0,IF(MAX(CM96:CR96)&gt;CR97+2+$B$18,1,0))</f>
        <v>0</v>
      </c>
      <c r="CS101" s="385" t="n">
        <f aca="false">IF(93&lt;5,0,IF(MAX(CN96:CS96)&gt;CS97+2+$B$18,1,0))</f>
        <v>0</v>
      </c>
      <c r="CT101" s="385" t="n">
        <f aca="false">IF(94&lt;5,0,IF(MAX(CO96:CT96)&gt;CT97+2+$B$18,1,0))</f>
        <v>0</v>
      </c>
      <c r="CU101" s="385" t="n">
        <f aca="false">IF(95&lt;5,0,IF(MAX(CP96:CU96)&gt;CU97+2+$B$18,1,0))</f>
        <v>0</v>
      </c>
      <c r="CV101" s="385" t="n">
        <f aca="false">IF(96&lt;5,0,IF(MAX(CQ96:CV96)&gt;CV97+2+$B$18,1,0))</f>
        <v>0</v>
      </c>
      <c r="CW101" s="385" t="n">
        <f aca="false">IF(97&lt;5,0,IF(MAX(CR96:CW96)&gt;CW97+2+$B$18,1,0))</f>
        <v>0</v>
      </c>
      <c r="CX101" s="385" t="n">
        <f aca="false">IF(98&lt;5,0,IF(MAX(CS96:CX96)&gt;CX97+2+$B$18,1,0))</f>
        <v>0</v>
      </c>
      <c r="CY101" s="385" t="n">
        <f aca="false">IF(99&lt;5,0,IF(MAX(CT96:CY96)&gt;CY97+2+$B$18,1,0))</f>
        <v>0</v>
      </c>
      <c r="CZ101" s="385" t="n">
        <f aca="false">IF(100&lt;5,0,IF(MAX(CU96:CZ96)&gt;CZ97+2+$B$18,1,0))</f>
        <v>0</v>
      </c>
      <c r="DA101" s="385" t="n">
        <f aca="false">IF(101&lt;5,0,IF(MAX(CV96:DA96)&gt;DA97+2+$B$18,1,0))</f>
        <v>0</v>
      </c>
      <c r="DB101" s="385" t="n">
        <f aca="false">IF(102&lt;5,0,IF(MAX(CW96:DB96)&gt;DB97+2+$B$18,1,0))</f>
        <v>0</v>
      </c>
      <c r="DC101" s="385" t="n">
        <f aca="false">IF(103&lt;5,0,IF(MAX(CX96:DC96)&gt;DC97+2+$B$18,1,0))</f>
        <v>0</v>
      </c>
      <c r="DD101" s="385" t="n">
        <f aca="false">IF(104&lt;5,0,IF(MAX(CY96:DD96)&gt;DD97+2+$B$18,1,0))</f>
        <v>0</v>
      </c>
      <c r="DE101" s="385" t="n">
        <f aca="false">IF(105&lt;5,0,IF(MAX(CZ96:DE96)&gt;DE97+2+$B$18,1,0))</f>
        <v>0</v>
      </c>
    </row>
    <row r="102" customFormat="false" ht="13.5" hidden="false" customHeight="true" outlineLevel="0" collapsed="false">
      <c r="A102" s="110" t="s">
        <v>1427</v>
      </c>
      <c r="B102" s="213" t="n">
        <f aca="false">$B$27</f>
        <v>125000</v>
      </c>
      <c r="E102" s="385" t="n">
        <f aca="false">IF(1&lt;5,0,IF(MAX(E96)&gt;E97+3+$B$18,1,0))</f>
        <v>0</v>
      </c>
      <c r="F102" s="385" t="n">
        <f aca="false">IF(2&lt;5,0,IF(MAX(E96:F96)&gt;F97+3+$B$18,1,0))</f>
        <v>0</v>
      </c>
      <c r="G102" s="385" t="n">
        <f aca="false">IF(3&lt;5,0,IF(MAX(E96:G96)&gt;G97+3+$B$18,1,0))</f>
        <v>0</v>
      </c>
      <c r="H102" s="385" t="n">
        <f aca="false">IF(4&lt;5,0,IF(MAX(E96:H96)&gt;H97+3+$B$18,1,0))</f>
        <v>0</v>
      </c>
      <c r="I102" s="385" t="n">
        <f aca="false">IF(5&lt;5,0,IF(MAX(E96:I96)&gt;I97+3+$B$18,1,0))</f>
        <v>0</v>
      </c>
      <c r="J102" s="385" t="n">
        <f aca="false">IF(6&lt;5,0,IF(MAX(E96:J96)&gt;J97+3+$B$18,1,0))</f>
        <v>0</v>
      </c>
      <c r="K102" s="385" t="n">
        <f aca="false">IF(7&lt;5,0,IF(MAX(F96:K96)&gt;K97+3+$B$18,1,0))</f>
        <v>0</v>
      </c>
      <c r="L102" s="385" t="n">
        <f aca="false">IF(8&lt;5,0,IF(MAX(G96:L96)&gt;L97+3+$B$18,1,0))</f>
        <v>0</v>
      </c>
      <c r="M102" s="385" t="n">
        <f aca="false">IF(9&lt;5,0,IF(MAX(H96:M96)&gt;M97+3+$B$18,1,0))</f>
        <v>0</v>
      </c>
      <c r="N102" s="385" t="n">
        <f aca="false">IF(10&lt;5,0,IF(MAX(I96:N96)&gt;N97+3+$B$18,1,0))</f>
        <v>0</v>
      </c>
      <c r="O102" s="385" t="n">
        <f aca="false">IF(11&lt;5,0,IF(MAX(J96:O96)&gt;O97+3+$B$18,1,0))</f>
        <v>0</v>
      </c>
      <c r="P102" s="385" t="n">
        <f aca="false">IF(12&lt;5,0,IF(MAX(K96:P96)&gt;P97+3+$B$18,1,0))</f>
        <v>0</v>
      </c>
      <c r="Q102" s="385" t="n">
        <f aca="false">IF(13&lt;5,0,IF(MAX(L96:Q96)&gt;Q97+3+$B$18,1,0))</f>
        <v>0</v>
      </c>
      <c r="R102" s="385" t="n">
        <f aca="false">IF(14&lt;5,0,IF(MAX(M96:R96)&gt;R97+3+$B$18,1,0))</f>
        <v>0</v>
      </c>
      <c r="S102" s="385" t="n">
        <f aca="false">IF(15&lt;5,0,IF(MAX(N96:S96)&gt;S97+3+$B$18,1,0))</f>
        <v>0</v>
      </c>
      <c r="T102" s="385" t="n">
        <f aca="false">IF(16&lt;5,0,IF(MAX(O96:T96)&gt;T97+3+$B$18,1,0))</f>
        <v>0</v>
      </c>
      <c r="U102" s="385" t="n">
        <f aca="false">IF(17&lt;5,0,IF(MAX(P96:U96)&gt;U97+3+$B$18,1,0))</f>
        <v>0</v>
      </c>
      <c r="V102" s="385" t="n">
        <f aca="false">IF(18&lt;5,0,IF(MAX(Q96:V96)&gt;V97+3+$B$18,1,0))</f>
        <v>0</v>
      </c>
      <c r="W102" s="385" t="n">
        <f aca="false">IF(19&lt;5,0,IF(MAX(R96:W96)&gt;W97+3+$B$18,1,0))</f>
        <v>0</v>
      </c>
      <c r="X102" s="385" t="n">
        <f aca="false">IF(20&lt;5,0,IF(MAX(S96:X96)&gt;X97+3+$B$18,1,0))</f>
        <v>0</v>
      </c>
      <c r="Y102" s="385" t="n">
        <f aca="false">IF(21&lt;5,0,IF(MAX(T96:Y96)&gt;Y97+3+$B$18,1,0))</f>
        <v>0</v>
      </c>
      <c r="Z102" s="385" t="n">
        <f aca="false">IF(22&lt;5,0,IF(MAX(U96:Z96)&gt;Z97+3+$B$18,1,0))</f>
        <v>0</v>
      </c>
      <c r="AA102" s="385" t="n">
        <f aca="false">IF(23&lt;5,0,IF(MAX(V96:AA96)&gt;AA97+3+$B$18,1,0))</f>
        <v>0</v>
      </c>
      <c r="AB102" s="385" t="n">
        <f aca="false">IF(24&lt;5,0,IF(MAX(W96:AB96)&gt;AB97+3+$B$18,1,0))</f>
        <v>0</v>
      </c>
      <c r="AC102" s="385" t="n">
        <f aca="false">IF(25&lt;5,0,IF(MAX(X96:AC96)&gt;AC97+3+$B$18,1,0))</f>
        <v>0</v>
      </c>
      <c r="AD102" s="385" t="n">
        <f aca="false">IF(26&lt;5,0,IF(MAX(Y96:AD96)&gt;AD97+3+$B$18,1,0))</f>
        <v>0</v>
      </c>
      <c r="AE102" s="385" t="n">
        <f aca="false">IF(27&lt;5,0,IF(MAX(Z96:AE96)&gt;AE97+3+$B$18,1,0))</f>
        <v>0</v>
      </c>
      <c r="AF102" s="385" t="n">
        <f aca="false">IF(28&lt;5,0,IF(MAX(AA96:AF96)&gt;AF97+3+$B$18,1,0))</f>
        <v>0</v>
      </c>
      <c r="AG102" s="385" t="n">
        <f aca="false">IF(29&lt;5,0,IF(MAX(AB96:AG96)&gt;AG97+3+$B$18,1,0))</f>
        <v>0</v>
      </c>
      <c r="AH102" s="385" t="n">
        <f aca="false">IF(30&lt;5,0,IF(MAX(AC96:AH96)&gt;AH97+3+$B$18,1,0))</f>
        <v>0</v>
      </c>
      <c r="AI102" s="385" t="n">
        <f aca="false">IF(31&lt;5,0,IF(MAX(AD96:AI96)&gt;AI97+3+$B$18,1,0))</f>
        <v>0</v>
      </c>
      <c r="AJ102" s="385" t="n">
        <f aca="false">IF(32&lt;5,0,IF(MAX(AE96:AJ96)&gt;AJ97+3+$B$18,1,0))</f>
        <v>0</v>
      </c>
      <c r="AK102" s="385" t="n">
        <f aca="false">IF(33&lt;5,0,IF(MAX(AF96:AK96)&gt;AK97+3+$B$18,1,0))</f>
        <v>0</v>
      </c>
      <c r="AL102" s="385" t="n">
        <f aca="false">IF(34&lt;5,0,IF(MAX(AG96:AL96)&gt;AL97+3+$B$18,1,0))</f>
        <v>0</v>
      </c>
      <c r="AM102" s="385" t="n">
        <f aca="false">IF(35&lt;5,0,IF(MAX(AH96:AM96)&gt;AM97+3+$B$18,1,0))</f>
        <v>0</v>
      </c>
      <c r="AN102" s="385" t="n">
        <f aca="false">IF(36&lt;5,0,IF(MAX(AI96:AN96)&gt;AN97+3+$B$18,1,0))</f>
        <v>0</v>
      </c>
      <c r="AO102" s="385" t="n">
        <f aca="false">IF(37&lt;5,0,IF(MAX(AJ96:AO96)&gt;AO97+3+$B$18,1,0))</f>
        <v>0</v>
      </c>
      <c r="AP102" s="385" t="n">
        <f aca="false">IF(38&lt;5,0,IF(MAX(AK96:AP96)&gt;AP97+3+$B$18,1,0))</f>
        <v>0</v>
      </c>
      <c r="AQ102" s="385" t="n">
        <f aca="false">IF(39&lt;5,0,IF(MAX(AL96:AQ96)&gt;AQ97+3+$B$18,1,0))</f>
        <v>0</v>
      </c>
      <c r="AR102" s="385" t="n">
        <f aca="false">IF(40&lt;5,0,IF(MAX(AM96:AR96)&gt;AR97+3+$B$18,1,0))</f>
        <v>0</v>
      </c>
      <c r="AS102" s="385" t="n">
        <f aca="false">IF(41&lt;5,0,IF(MAX(AN96:AS96)&gt;AS97+3+$B$18,1,0))</f>
        <v>0</v>
      </c>
      <c r="AT102" s="385" t="n">
        <f aca="false">IF(42&lt;5,0,IF(MAX(AO96:AT96)&gt;AT97+3+$B$18,1,0))</f>
        <v>0</v>
      </c>
      <c r="AU102" s="385" t="n">
        <f aca="false">IF(43&lt;5,0,IF(MAX(AP96:AU96)&gt;AU97+3+$B$18,1,0))</f>
        <v>0</v>
      </c>
      <c r="AV102" s="385" t="n">
        <f aca="false">IF(44&lt;5,0,IF(MAX(AQ96:AV96)&gt;AV97+3+$B$18,1,0))</f>
        <v>0</v>
      </c>
      <c r="AW102" s="385" t="n">
        <f aca="false">IF(45&lt;5,0,IF(MAX(AR96:AW96)&gt;AW97+3+$B$18,1,0))</f>
        <v>0</v>
      </c>
      <c r="AX102" s="385" t="n">
        <f aca="false">IF(46&lt;5,0,IF(MAX(AS96:AX96)&gt;AX97+3+$B$18,1,0))</f>
        <v>0</v>
      </c>
      <c r="AY102" s="385" t="n">
        <f aca="false">IF(47&lt;5,0,IF(MAX(AT96:AY96)&gt;AY97+3+$B$18,1,0))</f>
        <v>0</v>
      </c>
      <c r="AZ102" s="385" t="n">
        <f aca="false">IF(48&lt;5,0,IF(MAX(AU96:AZ96)&gt;AZ97+3+$B$18,1,0))</f>
        <v>0</v>
      </c>
      <c r="BA102" s="385" t="n">
        <f aca="false">IF(49&lt;5,0,IF(MAX(AV96:BA96)&gt;BA97+3+$B$18,1,0))</f>
        <v>0</v>
      </c>
      <c r="BB102" s="385" t="n">
        <f aca="false">IF(50&lt;5,0,IF(MAX(AW96:BB96)&gt;BB97+3+$B$18,1,0))</f>
        <v>0</v>
      </c>
      <c r="BC102" s="385" t="n">
        <f aca="false">IF(51&lt;5,0,IF(MAX(AX96:BC96)&gt;BC97+3+$B$18,1,0))</f>
        <v>0</v>
      </c>
      <c r="BD102" s="385" t="n">
        <f aca="false">IF(52&lt;5,0,IF(MAX(AY96:BD96)&gt;BD97+3+$B$18,1,0))</f>
        <v>0</v>
      </c>
      <c r="BE102" s="385" t="n">
        <f aca="false">IF(53&lt;5,0,IF(MAX(AZ96:BE96)&gt;BE97+3+$B$18,1,0))</f>
        <v>0</v>
      </c>
      <c r="BF102" s="385" t="n">
        <f aca="false">IF(54&lt;5,0,IF(MAX(BA96:BF96)&gt;BF97+3+$B$18,1,0))</f>
        <v>0</v>
      </c>
      <c r="BG102" s="385" t="n">
        <f aca="false">IF(55&lt;5,0,IF(MAX(BB96:BG96)&gt;BG97+3+$B$18,1,0))</f>
        <v>0</v>
      </c>
      <c r="BH102" s="385" t="n">
        <f aca="false">IF(56&lt;5,0,IF(MAX(BC96:BH96)&gt;BH97+3+$B$18,1,0))</f>
        <v>0</v>
      </c>
      <c r="BI102" s="385" t="n">
        <f aca="false">IF(57&lt;5,0,IF(MAX(BD96:BI96)&gt;BI97+3+$B$18,1,0))</f>
        <v>0</v>
      </c>
      <c r="BJ102" s="385" t="n">
        <f aca="false">IF(58&lt;5,0,IF(MAX(BE96:BJ96)&gt;BJ97+3+$B$18,1,0))</f>
        <v>0</v>
      </c>
      <c r="BK102" s="385" t="n">
        <f aca="false">IF(59&lt;5,0,IF(MAX(BF96:BK96)&gt;BK97+3+$B$18,1,0))</f>
        <v>0</v>
      </c>
      <c r="BL102" s="385" t="n">
        <f aca="false">IF(60&lt;5,0,IF(MAX(BG96:BL96)&gt;BL97+3+$B$18,1,0))</f>
        <v>0</v>
      </c>
      <c r="BM102" s="385" t="n">
        <f aca="false">IF(61&lt;5,0,IF(MAX(BH96:BM96)&gt;BM97+3+$B$18,1,0))</f>
        <v>0</v>
      </c>
      <c r="BN102" s="385" t="n">
        <f aca="false">IF(62&lt;5,0,IF(MAX(BI96:BN96)&gt;BN97+3+$B$18,1,0))</f>
        <v>0</v>
      </c>
      <c r="BO102" s="385" t="n">
        <f aca="false">IF(63&lt;5,0,IF(MAX(BJ96:BO96)&gt;BO97+3+$B$18,1,0))</f>
        <v>0</v>
      </c>
      <c r="BP102" s="385" t="n">
        <f aca="false">IF(64&lt;5,0,IF(MAX(BK96:BP96)&gt;BP97+3+$B$18,1,0))</f>
        <v>0</v>
      </c>
      <c r="BQ102" s="385" t="n">
        <f aca="false">IF(65&lt;5,0,IF(MAX(BL96:BQ96)&gt;BQ97+3+$B$18,1,0))</f>
        <v>0</v>
      </c>
      <c r="BR102" s="385" t="n">
        <f aca="false">IF(66&lt;5,0,IF(MAX(BM96:BR96)&gt;BR97+3+$B$18,1,0))</f>
        <v>0</v>
      </c>
      <c r="BS102" s="385" t="n">
        <f aca="false">IF(67&lt;5,0,IF(MAX(BN96:BS96)&gt;BS97+3+$B$18,1,0))</f>
        <v>0</v>
      </c>
      <c r="BT102" s="385" t="n">
        <f aca="false">IF(68&lt;5,0,IF(MAX(BO96:BT96)&gt;BT97+3+$B$18,1,0))</f>
        <v>0</v>
      </c>
      <c r="BU102" s="385" t="n">
        <f aca="false">IF(69&lt;5,0,IF(MAX(BP96:BU96)&gt;BU97+3+$B$18,1,0))</f>
        <v>0</v>
      </c>
      <c r="BV102" s="385" t="n">
        <f aca="false">IF(70&lt;5,0,IF(MAX(BQ96:BV96)&gt;BV97+3+$B$18,1,0))</f>
        <v>0</v>
      </c>
      <c r="BW102" s="385" t="n">
        <f aca="false">IF(71&lt;5,0,IF(MAX(BR96:BW96)&gt;BW97+3+$B$18,1,0))</f>
        <v>0</v>
      </c>
      <c r="BX102" s="385" t="n">
        <f aca="false">IF(72&lt;5,0,IF(MAX(BS96:BX96)&gt;BX97+3+$B$18,1,0))</f>
        <v>0</v>
      </c>
      <c r="BY102" s="385" t="n">
        <f aca="false">IF(73&lt;5,0,IF(MAX(BT96:BY96)&gt;BY97+3+$B$18,1,0))</f>
        <v>0</v>
      </c>
      <c r="BZ102" s="385" t="n">
        <f aca="false">IF(74&lt;5,0,IF(MAX(BU96:BZ96)&gt;BZ97+3+$B$18,1,0))</f>
        <v>0</v>
      </c>
      <c r="CA102" s="385" t="n">
        <f aca="false">IF(75&lt;5,0,IF(MAX(BV96:CA96)&gt;CA97+3+$B$18,1,0))</f>
        <v>0</v>
      </c>
      <c r="CB102" s="385" t="n">
        <f aca="false">IF(76&lt;5,0,IF(MAX(BW96:CB96)&gt;CB97+3+$B$18,1,0))</f>
        <v>0</v>
      </c>
      <c r="CC102" s="385" t="n">
        <f aca="false">IF(77&lt;5,0,IF(MAX(BX96:CC96)&gt;CC97+3+$B$18,1,0))</f>
        <v>0</v>
      </c>
      <c r="CD102" s="385" t="n">
        <f aca="false">IF(78&lt;5,0,IF(MAX(BY96:CD96)&gt;CD97+3+$B$18,1,0))</f>
        <v>0</v>
      </c>
      <c r="CE102" s="385" t="n">
        <f aca="false">IF(79&lt;5,0,IF(MAX(BZ96:CE96)&gt;CE97+3+$B$18,1,0))</f>
        <v>0</v>
      </c>
      <c r="CF102" s="385" t="n">
        <f aca="false">IF(80&lt;5,0,IF(MAX(CA96:CF96)&gt;CF97+3+$B$18,1,0))</f>
        <v>0</v>
      </c>
      <c r="CG102" s="385" t="n">
        <f aca="false">IF(81&lt;5,0,IF(MAX(CB96:CG96)&gt;CG97+3+$B$18,1,0))</f>
        <v>0</v>
      </c>
      <c r="CH102" s="385" t="n">
        <f aca="false">IF(82&lt;5,0,IF(MAX(CC96:CH96)&gt;CH97+3+$B$18,1,0))</f>
        <v>0</v>
      </c>
      <c r="CI102" s="385" t="n">
        <f aca="false">IF(83&lt;5,0,IF(MAX(CD96:CI96)&gt;CI97+3+$B$18,1,0))</f>
        <v>0</v>
      </c>
      <c r="CJ102" s="385" t="n">
        <f aca="false">IF(84&lt;5,0,IF(MAX(CE96:CJ96)&gt;CJ97+3+$B$18,1,0))</f>
        <v>0</v>
      </c>
      <c r="CK102" s="385" t="n">
        <f aca="false">IF(85&lt;5,0,IF(MAX(CF96:CK96)&gt;CK97+3+$B$18,1,0))</f>
        <v>0</v>
      </c>
      <c r="CL102" s="385" t="n">
        <f aca="false">IF(86&lt;5,0,IF(MAX(CG96:CL96)&gt;CL97+3+$B$18,1,0))</f>
        <v>0</v>
      </c>
      <c r="CM102" s="385" t="n">
        <f aca="false">IF(87&lt;5,0,IF(MAX(CH96:CM96)&gt;CM97+3+$B$18,1,0))</f>
        <v>0</v>
      </c>
      <c r="CN102" s="385" t="n">
        <f aca="false">IF(88&lt;5,0,IF(MAX(CI96:CN96)&gt;CN97+3+$B$18,1,0))</f>
        <v>0</v>
      </c>
      <c r="CO102" s="385" t="n">
        <f aca="false">IF(89&lt;5,0,IF(MAX(CJ96:CO96)&gt;CO97+3+$B$18,1,0))</f>
        <v>0</v>
      </c>
      <c r="CP102" s="385" t="n">
        <f aca="false">IF(90&lt;5,0,IF(MAX(CK96:CP96)&gt;CP97+3+$B$18,1,0))</f>
        <v>0</v>
      </c>
      <c r="CQ102" s="385" t="n">
        <f aca="false">IF(91&lt;5,0,IF(MAX(CL96:CQ96)&gt;CQ97+3+$B$18,1,0))</f>
        <v>0</v>
      </c>
      <c r="CR102" s="385" t="n">
        <f aca="false">IF(92&lt;5,0,IF(MAX(CM96:CR96)&gt;CR97+3+$B$18,1,0))</f>
        <v>0</v>
      </c>
      <c r="CS102" s="385" t="n">
        <f aca="false">IF(93&lt;5,0,IF(MAX(CN96:CS96)&gt;CS97+3+$B$18,1,0))</f>
        <v>0</v>
      </c>
      <c r="CT102" s="385" t="n">
        <f aca="false">IF(94&lt;5,0,IF(MAX(CO96:CT96)&gt;CT97+3+$B$18,1,0))</f>
        <v>0</v>
      </c>
      <c r="CU102" s="385" t="n">
        <f aca="false">IF(95&lt;5,0,IF(MAX(CP96:CU96)&gt;CU97+3+$B$18,1,0))</f>
        <v>0</v>
      </c>
      <c r="CV102" s="385" t="n">
        <f aca="false">IF(96&lt;5,0,IF(MAX(CQ96:CV96)&gt;CV97+3+$B$18,1,0))</f>
        <v>0</v>
      </c>
      <c r="CW102" s="385" t="n">
        <f aca="false">IF(97&lt;5,0,IF(MAX(CR96:CW96)&gt;CW97+3+$B$18,1,0))</f>
        <v>0</v>
      </c>
      <c r="CX102" s="385" t="n">
        <f aca="false">IF(98&lt;5,0,IF(MAX(CS96:CX96)&gt;CX97+3+$B$18,1,0))</f>
        <v>0</v>
      </c>
      <c r="CY102" s="385" t="n">
        <f aca="false">IF(99&lt;5,0,IF(MAX(CT96:CY96)&gt;CY97+3+$B$18,1,0))</f>
        <v>0</v>
      </c>
      <c r="CZ102" s="385" t="n">
        <f aca="false">IF(100&lt;5,0,IF(MAX(CU96:CZ96)&gt;CZ97+3+$B$18,1,0))</f>
        <v>0</v>
      </c>
      <c r="DA102" s="385" t="n">
        <f aca="false">IF(101&lt;5,0,IF(MAX(CV96:DA96)&gt;DA97+3+$B$18,1,0))</f>
        <v>0</v>
      </c>
      <c r="DB102" s="385" t="n">
        <f aca="false">IF(102&lt;5,0,IF(MAX(CW96:DB96)&gt;DB97+3+$B$18,1,0))</f>
        <v>0</v>
      </c>
      <c r="DC102" s="385" t="n">
        <f aca="false">IF(103&lt;5,0,IF(MAX(CX96:DC96)&gt;DC97+3+$B$18,1,0))</f>
        <v>0</v>
      </c>
      <c r="DD102" s="385" t="n">
        <f aca="false">IF(104&lt;5,0,IF(MAX(CY96:DD96)&gt;DD97+3+$B$18,1,0))</f>
        <v>0</v>
      </c>
      <c r="DE102" s="385" t="n">
        <f aca="false">IF(105&lt;5,0,IF(MAX(CZ96:DE96)&gt;DE97+3+$B$18,1,0))</f>
        <v>0</v>
      </c>
    </row>
    <row r="103" customFormat="false" ht="13.5" hidden="false" customHeight="true" outlineLevel="0" collapsed="false">
      <c r="A103" s="110" t="s">
        <v>1428</v>
      </c>
      <c r="B103" s="213" t="n">
        <f aca="false">$B$27</f>
        <v>125000</v>
      </c>
      <c r="E103" s="385" t="n">
        <f aca="false">IF(1&lt;5,0,IF(MAX(E96)&gt;E97+4+$B$18,1,0))</f>
        <v>0</v>
      </c>
      <c r="F103" s="385" t="n">
        <f aca="false">IF(2&lt;5,0,IF(MAX(E96:F96)&gt;F97+4+$B$18,1,0))</f>
        <v>0</v>
      </c>
      <c r="G103" s="385" t="n">
        <f aca="false">IF(3&lt;5,0,IF(MAX(E96:G96)&gt;G97+4+$B$18,1,0))</f>
        <v>0</v>
      </c>
      <c r="H103" s="385" t="n">
        <f aca="false">IF(4&lt;5,0,IF(MAX(E96:H96)&gt;H97+4+$B$18,1,0))</f>
        <v>0</v>
      </c>
      <c r="I103" s="385" t="n">
        <f aca="false">IF(5&lt;5,0,IF(MAX(E96:I96)&gt;I97+4+$B$18,1,0))</f>
        <v>0</v>
      </c>
      <c r="J103" s="385" t="n">
        <f aca="false">IF(6&lt;5,0,IF(MAX(E96:J96)&gt;J97+4+$B$18,1,0))</f>
        <v>0</v>
      </c>
      <c r="K103" s="385" t="n">
        <f aca="false">IF(7&lt;5,0,IF(MAX(F96:K96)&gt;K97+4+$B$18,1,0))</f>
        <v>0</v>
      </c>
      <c r="L103" s="385" t="n">
        <f aca="false">IF(8&lt;5,0,IF(MAX(G96:L96)&gt;L97+4+$B$18,1,0))</f>
        <v>0</v>
      </c>
      <c r="M103" s="385" t="n">
        <f aca="false">IF(9&lt;5,0,IF(MAX(H96:M96)&gt;M97+4+$B$18,1,0))</f>
        <v>0</v>
      </c>
      <c r="N103" s="385" t="n">
        <f aca="false">IF(10&lt;5,0,IF(MAX(I96:N96)&gt;N97+4+$B$18,1,0))</f>
        <v>0</v>
      </c>
      <c r="O103" s="385" t="n">
        <f aca="false">IF(11&lt;5,0,IF(MAX(J96:O96)&gt;O97+4+$B$18,1,0))</f>
        <v>0</v>
      </c>
      <c r="P103" s="385" t="n">
        <f aca="false">IF(12&lt;5,0,IF(MAX(K96:P96)&gt;P97+4+$B$18,1,0))</f>
        <v>0</v>
      </c>
      <c r="Q103" s="385" t="n">
        <f aca="false">IF(13&lt;5,0,IF(MAX(L96:Q96)&gt;Q97+4+$B$18,1,0))</f>
        <v>0</v>
      </c>
      <c r="R103" s="385" t="n">
        <f aca="false">IF(14&lt;5,0,IF(MAX(M96:R96)&gt;R97+4+$B$18,1,0))</f>
        <v>0</v>
      </c>
      <c r="S103" s="385" t="n">
        <f aca="false">IF(15&lt;5,0,IF(MAX(N96:S96)&gt;S97+4+$B$18,1,0))</f>
        <v>0</v>
      </c>
      <c r="T103" s="385" t="n">
        <f aca="false">IF(16&lt;5,0,IF(MAX(O96:T96)&gt;T97+4+$B$18,1,0))</f>
        <v>0</v>
      </c>
      <c r="U103" s="385" t="n">
        <f aca="false">IF(17&lt;5,0,IF(MAX(P96:U96)&gt;U97+4+$B$18,1,0))</f>
        <v>0</v>
      </c>
      <c r="V103" s="385" t="n">
        <f aca="false">IF(18&lt;5,0,IF(MAX(Q96:V96)&gt;V97+4+$B$18,1,0))</f>
        <v>0</v>
      </c>
      <c r="W103" s="385" t="n">
        <f aca="false">IF(19&lt;5,0,IF(MAX(R96:W96)&gt;W97+4+$B$18,1,0))</f>
        <v>0</v>
      </c>
      <c r="X103" s="385" t="n">
        <f aca="false">IF(20&lt;5,0,IF(MAX(S96:X96)&gt;X97+4+$B$18,1,0))</f>
        <v>0</v>
      </c>
      <c r="Y103" s="385" t="n">
        <f aca="false">IF(21&lt;5,0,IF(MAX(T96:Y96)&gt;Y97+4+$B$18,1,0))</f>
        <v>0</v>
      </c>
      <c r="Z103" s="385" t="n">
        <f aca="false">IF(22&lt;5,0,IF(MAX(U96:Z96)&gt;Z97+4+$B$18,1,0))</f>
        <v>0</v>
      </c>
      <c r="AA103" s="385" t="n">
        <f aca="false">IF(23&lt;5,0,IF(MAX(V96:AA96)&gt;AA97+4+$B$18,1,0))</f>
        <v>0</v>
      </c>
      <c r="AB103" s="385" t="n">
        <f aca="false">IF(24&lt;5,0,IF(MAX(W96:AB96)&gt;AB97+4+$B$18,1,0))</f>
        <v>0</v>
      </c>
      <c r="AC103" s="385" t="n">
        <f aca="false">IF(25&lt;5,0,IF(MAX(X96:AC96)&gt;AC97+4+$B$18,1,0))</f>
        <v>0</v>
      </c>
      <c r="AD103" s="385" t="n">
        <f aca="false">IF(26&lt;5,0,IF(MAX(Y96:AD96)&gt;AD97+4+$B$18,1,0))</f>
        <v>0</v>
      </c>
      <c r="AE103" s="385" t="n">
        <f aca="false">IF(27&lt;5,0,IF(MAX(Z96:AE96)&gt;AE97+4+$B$18,1,0))</f>
        <v>0</v>
      </c>
      <c r="AF103" s="385" t="n">
        <f aca="false">IF(28&lt;5,0,IF(MAX(AA96:AF96)&gt;AF97+4+$B$18,1,0))</f>
        <v>0</v>
      </c>
      <c r="AG103" s="385" t="n">
        <f aca="false">IF(29&lt;5,0,IF(MAX(AB96:AG96)&gt;AG97+4+$B$18,1,0))</f>
        <v>0</v>
      </c>
      <c r="AH103" s="385" t="n">
        <f aca="false">IF(30&lt;5,0,IF(MAX(AC96:AH96)&gt;AH97+4+$B$18,1,0))</f>
        <v>0</v>
      </c>
      <c r="AI103" s="385" t="n">
        <f aca="false">IF(31&lt;5,0,IF(MAX(AD96:AI96)&gt;AI97+4+$B$18,1,0))</f>
        <v>0</v>
      </c>
      <c r="AJ103" s="385" t="n">
        <f aca="false">IF(32&lt;5,0,IF(MAX(AE96:AJ96)&gt;AJ97+4+$B$18,1,0))</f>
        <v>0</v>
      </c>
      <c r="AK103" s="385" t="n">
        <f aca="false">IF(33&lt;5,0,IF(MAX(AF96:AK96)&gt;AK97+4+$B$18,1,0))</f>
        <v>0</v>
      </c>
      <c r="AL103" s="385" t="n">
        <f aca="false">IF(34&lt;5,0,IF(MAX(AG96:AL96)&gt;AL97+4+$B$18,1,0))</f>
        <v>0</v>
      </c>
      <c r="AM103" s="385" t="n">
        <f aca="false">IF(35&lt;5,0,IF(MAX(AH96:AM96)&gt;AM97+4+$B$18,1,0))</f>
        <v>0</v>
      </c>
      <c r="AN103" s="385" t="n">
        <f aca="false">IF(36&lt;5,0,IF(MAX(AI96:AN96)&gt;AN97+4+$B$18,1,0))</f>
        <v>0</v>
      </c>
      <c r="AO103" s="385" t="n">
        <f aca="false">IF(37&lt;5,0,IF(MAX(AJ96:AO96)&gt;AO97+4+$B$18,1,0))</f>
        <v>0</v>
      </c>
      <c r="AP103" s="385" t="n">
        <f aca="false">IF(38&lt;5,0,IF(MAX(AK96:AP96)&gt;AP97+4+$B$18,1,0))</f>
        <v>0</v>
      </c>
      <c r="AQ103" s="385" t="n">
        <f aca="false">IF(39&lt;5,0,IF(MAX(AL96:AQ96)&gt;AQ97+4+$B$18,1,0))</f>
        <v>0</v>
      </c>
      <c r="AR103" s="385" t="n">
        <f aca="false">IF(40&lt;5,0,IF(MAX(AM96:AR96)&gt;AR97+4+$B$18,1,0))</f>
        <v>0</v>
      </c>
      <c r="AS103" s="385" t="n">
        <f aca="false">IF(41&lt;5,0,IF(MAX(AN96:AS96)&gt;AS97+4+$B$18,1,0))</f>
        <v>0</v>
      </c>
      <c r="AT103" s="385" t="n">
        <f aca="false">IF(42&lt;5,0,IF(MAX(AO96:AT96)&gt;AT97+4+$B$18,1,0))</f>
        <v>0</v>
      </c>
      <c r="AU103" s="385" t="n">
        <f aca="false">IF(43&lt;5,0,IF(MAX(AP96:AU96)&gt;AU97+4+$B$18,1,0))</f>
        <v>0</v>
      </c>
      <c r="AV103" s="385" t="n">
        <f aca="false">IF(44&lt;5,0,IF(MAX(AQ96:AV96)&gt;AV97+4+$B$18,1,0))</f>
        <v>0</v>
      </c>
      <c r="AW103" s="385" t="n">
        <f aca="false">IF(45&lt;5,0,IF(MAX(AR96:AW96)&gt;AW97+4+$B$18,1,0))</f>
        <v>0</v>
      </c>
      <c r="AX103" s="385" t="n">
        <f aca="false">IF(46&lt;5,0,IF(MAX(AS96:AX96)&gt;AX97+4+$B$18,1,0))</f>
        <v>0</v>
      </c>
      <c r="AY103" s="385" t="n">
        <f aca="false">IF(47&lt;5,0,IF(MAX(AT96:AY96)&gt;AY97+4+$B$18,1,0))</f>
        <v>0</v>
      </c>
      <c r="AZ103" s="385" t="n">
        <f aca="false">IF(48&lt;5,0,IF(MAX(AU96:AZ96)&gt;AZ97+4+$B$18,1,0))</f>
        <v>0</v>
      </c>
      <c r="BA103" s="385" t="n">
        <f aca="false">IF(49&lt;5,0,IF(MAX(AV96:BA96)&gt;BA97+4+$B$18,1,0))</f>
        <v>0</v>
      </c>
      <c r="BB103" s="385" t="n">
        <f aca="false">IF(50&lt;5,0,IF(MAX(AW96:BB96)&gt;BB97+4+$B$18,1,0))</f>
        <v>0</v>
      </c>
      <c r="BC103" s="385" t="n">
        <f aca="false">IF(51&lt;5,0,IF(MAX(AX96:BC96)&gt;BC97+4+$B$18,1,0))</f>
        <v>0</v>
      </c>
      <c r="BD103" s="385" t="n">
        <f aca="false">IF(52&lt;5,0,IF(MAX(AY96:BD96)&gt;BD97+4+$B$18,1,0))</f>
        <v>0</v>
      </c>
      <c r="BE103" s="385" t="n">
        <f aca="false">IF(53&lt;5,0,IF(MAX(AZ96:BE96)&gt;BE97+4+$B$18,1,0))</f>
        <v>0</v>
      </c>
      <c r="BF103" s="385" t="n">
        <f aca="false">IF(54&lt;5,0,IF(MAX(BA96:BF96)&gt;BF97+4+$B$18,1,0))</f>
        <v>0</v>
      </c>
      <c r="BG103" s="385" t="n">
        <f aca="false">IF(55&lt;5,0,IF(MAX(BB96:BG96)&gt;BG97+4+$B$18,1,0))</f>
        <v>0</v>
      </c>
      <c r="BH103" s="385" t="n">
        <f aca="false">IF(56&lt;5,0,IF(MAX(BC96:BH96)&gt;BH97+4+$B$18,1,0))</f>
        <v>0</v>
      </c>
      <c r="BI103" s="385" t="n">
        <f aca="false">IF(57&lt;5,0,IF(MAX(BD96:BI96)&gt;BI97+4+$B$18,1,0))</f>
        <v>0</v>
      </c>
      <c r="BJ103" s="385" t="n">
        <f aca="false">IF(58&lt;5,0,IF(MAX(BE96:BJ96)&gt;BJ97+4+$B$18,1,0))</f>
        <v>0</v>
      </c>
      <c r="BK103" s="385" t="n">
        <f aca="false">IF(59&lt;5,0,IF(MAX(BF96:BK96)&gt;BK97+4+$B$18,1,0))</f>
        <v>0</v>
      </c>
      <c r="BL103" s="385" t="n">
        <f aca="false">IF(60&lt;5,0,IF(MAX(BG96:BL96)&gt;BL97+4+$B$18,1,0))</f>
        <v>0</v>
      </c>
      <c r="BM103" s="385" t="n">
        <f aca="false">IF(61&lt;5,0,IF(MAX(BH96:BM96)&gt;BM97+4+$B$18,1,0))</f>
        <v>0</v>
      </c>
      <c r="BN103" s="385" t="n">
        <f aca="false">IF(62&lt;5,0,IF(MAX(BI96:BN96)&gt;BN97+4+$B$18,1,0))</f>
        <v>0</v>
      </c>
      <c r="BO103" s="385" t="n">
        <f aca="false">IF(63&lt;5,0,IF(MAX(BJ96:BO96)&gt;BO97+4+$B$18,1,0))</f>
        <v>0</v>
      </c>
      <c r="BP103" s="385" t="n">
        <f aca="false">IF(64&lt;5,0,IF(MAX(BK96:BP96)&gt;BP97+4+$B$18,1,0))</f>
        <v>0</v>
      </c>
      <c r="BQ103" s="385" t="n">
        <f aca="false">IF(65&lt;5,0,IF(MAX(BL96:BQ96)&gt;BQ97+4+$B$18,1,0))</f>
        <v>0</v>
      </c>
      <c r="BR103" s="385" t="n">
        <f aca="false">IF(66&lt;5,0,IF(MAX(BM96:BR96)&gt;BR97+4+$B$18,1,0))</f>
        <v>0</v>
      </c>
      <c r="BS103" s="385" t="n">
        <f aca="false">IF(67&lt;5,0,IF(MAX(BN96:BS96)&gt;BS97+4+$B$18,1,0))</f>
        <v>0</v>
      </c>
      <c r="BT103" s="385" t="n">
        <f aca="false">IF(68&lt;5,0,IF(MAX(BO96:BT96)&gt;BT97+4+$B$18,1,0))</f>
        <v>0</v>
      </c>
      <c r="BU103" s="385" t="n">
        <f aca="false">IF(69&lt;5,0,IF(MAX(BP96:BU96)&gt;BU97+4+$B$18,1,0))</f>
        <v>0</v>
      </c>
      <c r="BV103" s="385" t="n">
        <f aca="false">IF(70&lt;5,0,IF(MAX(BQ96:BV96)&gt;BV97+4+$B$18,1,0))</f>
        <v>0</v>
      </c>
      <c r="BW103" s="385" t="n">
        <f aca="false">IF(71&lt;5,0,IF(MAX(BR96:BW96)&gt;BW97+4+$B$18,1,0))</f>
        <v>0</v>
      </c>
      <c r="BX103" s="385" t="n">
        <f aca="false">IF(72&lt;5,0,IF(MAX(BS96:BX96)&gt;BX97+4+$B$18,1,0))</f>
        <v>0</v>
      </c>
      <c r="BY103" s="385" t="n">
        <f aca="false">IF(73&lt;5,0,IF(MAX(BT96:BY96)&gt;BY97+4+$B$18,1,0))</f>
        <v>0</v>
      </c>
      <c r="BZ103" s="385" t="n">
        <f aca="false">IF(74&lt;5,0,IF(MAX(BU96:BZ96)&gt;BZ97+4+$B$18,1,0))</f>
        <v>0</v>
      </c>
      <c r="CA103" s="385" t="n">
        <f aca="false">IF(75&lt;5,0,IF(MAX(BV96:CA96)&gt;CA97+4+$B$18,1,0))</f>
        <v>0</v>
      </c>
      <c r="CB103" s="385" t="n">
        <f aca="false">IF(76&lt;5,0,IF(MAX(BW96:CB96)&gt;CB97+4+$B$18,1,0))</f>
        <v>0</v>
      </c>
      <c r="CC103" s="385" t="n">
        <f aca="false">IF(77&lt;5,0,IF(MAX(BX96:CC96)&gt;CC97+4+$B$18,1,0))</f>
        <v>0</v>
      </c>
      <c r="CD103" s="385" t="n">
        <f aca="false">IF(78&lt;5,0,IF(MAX(BY96:CD96)&gt;CD97+4+$B$18,1,0))</f>
        <v>0</v>
      </c>
      <c r="CE103" s="385" t="n">
        <f aca="false">IF(79&lt;5,0,IF(MAX(BZ96:CE96)&gt;CE97+4+$B$18,1,0))</f>
        <v>0</v>
      </c>
      <c r="CF103" s="385" t="n">
        <f aca="false">IF(80&lt;5,0,IF(MAX(CA96:CF96)&gt;CF97+4+$B$18,1,0))</f>
        <v>0</v>
      </c>
      <c r="CG103" s="385" t="n">
        <f aca="false">IF(81&lt;5,0,IF(MAX(CB96:CG96)&gt;CG97+4+$B$18,1,0))</f>
        <v>0</v>
      </c>
      <c r="CH103" s="385" t="n">
        <f aca="false">IF(82&lt;5,0,IF(MAX(CC96:CH96)&gt;CH97+4+$B$18,1,0))</f>
        <v>0</v>
      </c>
      <c r="CI103" s="385" t="n">
        <f aca="false">IF(83&lt;5,0,IF(MAX(CD96:CI96)&gt;CI97+4+$B$18,1,0))</f>
        <v>0</v>
      </c>
      <c r="CJ103" s="385" t="n">
        <f aca="false">IF(84&lt;5,0,IF(MAX(CE96:CJ96)&gt;CJ97+4+$B$18,1,0))</f>
        <v>0</v>
      </c>
      <c r="CK103" s="385" t="n">
        <f aca="false">IF(85&lt;5,0,IF(MAX(CF96:CK96)&gt;CK97+4+$B$18,1,0))</f>
        <v>0</v>
      </c>
      <c r="CL103" s="385" t="n">
        <f aca="false">IF(86&lt;5,0,IF(MAX(CG96:CL96)&gt;CL97+4+$B$18,1,0))</f>
        <v>0</v>
      </c>
      <c r="CM103" s="385" t="n">
        <f aca="false">IF(87&lt;5,0,IF(MAX(CH96:CM96)&gt;CM97+4+$B$18,1,0))</f>
        <v>0</v>
      </c>
      <c r="CN103" s="385" t="n">
        <f aca="false">IF(88&lt;5,0,IF(MAX(CI96:CN96)&gt;CN97+4+$B$18,1,0))</f>
        <v>0</v>
      </c>
      <c r="CO103" s="385" t="n">
        <f aca="false">IF(89&lt;5,0,IF(MAX(CJ96:CO96)&gt;CO97+4+$B$18,1,0))</f>
        <v>0</v>
      </c>
      <c r="CP103" s="385" t="n">
        <f aca="false">IF(90&lt;5,0,IF(MAX(CK96:CP96)&gt;CP97+4+$B$18,1,0))</f>
        <v>0</v>
      </c>
      <c r="CQ103" s="385" t="n">
        <f aca="false">IF(91&lt;5,0,IF(MAX(CL96:CQ96)&gt;CQ97+4+$B$18,1,0))</f>
        <v>0</v>
      </c>
      <c r="CR103" s="385" t="n">
        <f aca="false">IF(92&lt;5,0,IF(MAX(CM96:CR96)&gt;CR97+4+$B$18,1,0))</f>
        <v>0</v>
      </c>
      <c r="CS103" s="385" t="n">
        <f aca="false">IF(93&lt;5,0,IF(MAX(CN96:CS96)&gt;CS97+4+$B$18,1,0))</f>
        <v>0</v>
      </c>
      <c r="CT103" s="385" t="n">
        <f aca="false">IF(94&lt;5,0,IF(MAX(CO96:CT96)&gt;CT97+4+$B$18,1,0))</f>
        <v>0</v>
      </c>
      <c r="CU103" s="385" t="n">
        <f aca="false">IF(95&lt;5,0,IF(MAX(CP96:CU96)&gt;CU97+4+$B$18,1,0))</f>
        <v>0</v>
      </c>
      <c r="CV103" s="385" t="n">
        <f aca="false">IF(96&lt;5,0,IF(MAX(CQ96:CV96)&gt;CV97+4+$B$18,1,0))</f>
        <v>0</v>
      </c>
      <c r="CW103" s="385" t="n">
        <f aca="false">IF(97&lt;5,0,IF(MAX(CR96:CW96)&gt;CW97+4+$B$18,1,0))</f>
        <v>0</v>
      </c>
      <c r="CX103" s="385" t="n">
        <f aca="false">IF(98&lt;5,0,IF(MAX(CS96:CX96)&gt;CX97+4+$B$18,1,0))</f>
        <v>0</v>
      </c>
      <c r="CY103" s="385" t="n">
        <f aca="false">IF(99&lt;5,0,IF(MAX(CT96:CY96)&gt;CY97+4+$B$18,1,0))</f>
        <v>0</v>
      </c>
      <c r="CZ103" s="385" t="n">
        <f aca="false">IF(100&lt;5,0,IF(MAX(CU96:CZ96)&gt;CZ97+4+$B$18,1,0))</f>
        <v>0</v>
      </c>
      <c r="DA103" s="385" t="n">
        <f aca="false">IF(101&lt;5,0,IF(MAX(CV96:DA96)&gt;DA97+4+$B$18,1,0))</f>
        <v>0</v>
      </c>
      <c r="DB103" s="385" t="n">
        <f aca="false">IF(102&lt;5,0,IF(MAX(CW96:DB96)&gt;DB97+4+$B$18,1,0))</f>
        <v>0</v>
      </c>
      <c r="DC103" s="385" t="n">
        <f aca="false">IF(103&lt;5,0,IF(MAX(CX96:DC96)&gt;DC97+4+$B$18,1,0))</f>
        <v>0</v>
      </c>
      <c r="DD103" s="385" t="n">
        <f aca="false">IF(104&lt;5,0,IF(MAX(CY96:DD96)&gt;DD97+4+$B$18,1,0))</f>
        <v>0</v>
      </c>
      <c r="DE103" s="385" t="n">
        <f aca="false">IF(105&lt;5,0,IF(MAX(CZ96:DE96)&gt;DE97+4+$B$18,1,0))</f>
        <v>0</v>
      </c>
    </row>
    <row r="104" customFormat="false" ht="13.5" hidden="false" customHeight="true" outlineLevel="0" collapsed="false">
      <c r="A104" s="110" t="s">
        <v>1429</v>
      </c>
      <c r="B104" s="213" t="n">
        <f aca="false">$B$27</f>
        <v>125000</v>
      </c>
      <c r="E104" s="385" t="n">
        <f aca="false">IF(1&lt;5,0,IF(MAX(E96)&gt;E97+5+$B$18,1,0))</f>
        <v>0</v>
      </c>
      <c r="F104" s="385" t="n">
        <f aca="false">IF(2&lt;5,0,IF(MAX(E96:F96)&gt;F97+5+$B$18,1,0))</f>
        <v>0</v>
      </c>
      <c r="G104" s="385" t="n">
        <f aca="false">IF(3&lt;5,0,IF(MAX(E96:G96)&gt;G97+5+$B$18,1,0))</f>
        <v>0</v>
      </c>
      <c r="H104" s="385" t="n">
        <f aca="false">IF(4&lt;5,0,IF(MAX(E96:H96)&gt;H97+5+$B$18,1,0))</f>
        <v>0</v>
      </c>
      <c r="I104" s="385" t="n">
        <f aca="false">IF(5&lt;5,0,IF(MAX(E96:I96)&gt;I97+5+$B$18,1,0))</f>
        <v>0</v>
      </c>
      <c r="J104" s="385" t="n">
        <f aca="false">IF(6&lt;5,0,IF(MAX(E96:J96)&gt;J97+5+$B$18,1,0))</f>
        <v>0</v>
      </c>
      <c r="K104" s="385" t="n">
        <f aca="false">IF(7&lt;5,0,IF(MAX(F96:K96)&gt;K97+5+$B$18,1,0))</f>
        <v>0</v>
      </c>
      <c r="L104" s="385" t="n">
        <f aca="false">IF(8&lt;5,0,IF(MAX(G96:L96)&gt;L97+5+$B$18,1,0))</f>
        <v>0</v>
      </c>
      <c r="M104" s="385" t="n">
        <f aca="false">IF(9&lt;5,0,IF(MAX(H96:M96)&gt;M97+5+$B$18,1,0))</f>
        <v>0</v>
      </c>
      <c r="N104" s="385" t="n">
        <f aca="false">IF(10&lt;5,0,IF(MAX(I96:N96)&gt;N97+5+$B$18,1,0))</f>
        <v>0</v>
      </c>
      <c r="O104" s="385" t="n">
        <f aca="false">IF(11&lt;5,0,IF(MAX(J96:O96)&gt;O97+5+$B$18,1,0))</f>
        <v>0</v>
      </c>
      <c r="P104" s="385" t="n">
        <f aca="false">IF(12&lt;5,0,IF(MAX(K96:P96)&gt;P97+5+$B$18,1,0))</f>
        <v>0</v>
      </c>
      <c r="Q104" s="385" t="n">
        <f aca="false">IF(13&lt;5,0,IF(MAX(L96:Q96)&gt;Q97+5+$B$18,1,0))</f>
        <v>0</v>
      </c>
      <c r="R104" s="385" t="n">
        <f aca="false">IF(14&lt;5,0,IF(MAX(M96:R96)&gt;R97+5+$B$18,1,0))</f>
        <v>0</v>
      </c>
      <c r="S104" s="385" t="n">
        <f aca="false">IF(15&lt;5,0,IF(MAX(N96:S96)&gt;S97+5+$B$18,1,0))</f>
        <v>0</v>
      </c>
      <c r="T104" s="385" t="n">
        <f aca="false">IF(16&lt;5,0,IF(MAX(O96:T96)&gt;T97+5+$B$18,1,0))</f>
        <v>0</v>
      </c>
      <c r="U104" s="385" t="n">
        <f aca="false">IF(17&lt;5,0,IF(MAX(P96:U96)&gt;U97+5+$B$18,1,0))</f>
        <v>0</v>
      </c>
      <c r="V104" s="385" t="n">
        <f aca="false">IF(18&lt;5,0,IF(MAX(Q96:V96)&gt;V97+5+$B$18,1,0))</f>
        <v>0</v>
      </c>
      <c r="W104" s="385" t="n">
        <f aca="false">IF(19&lt;5,0,IF(MAX(R96:W96)&gt;W97+5+$B$18,1,0))</f>
        <v>0</v>
      </c>
      <c r="X104" s="385" t="n">
        <f aca="false">IF(20&lt;5,0,IF(MAX(S96:X96)&gt;X97+5+$B$18,1,0))</f>
        <v>0</v>
      </c>
      <c r="Y104" s="385" t="n">
        <f aca="false">IF(21&lt;5,0,IF(MAX(T96:Y96)&gt;Y97+5+$B$18,1,0))</f>
        <v>0</v>
      </c>
      <c r="Z104" s="385" t="n">
        <f aca="false">IF(22&lt;5,0,IF(MAX(U96:Z96)&gt;Z97+5+$B$18,1,0))</f>
        <v>0</v>
      </c>
      <c r="AA104" s="385" t="n">
        <f aca="false">IF(23&lt;5,0,IF(MAX(V96:AA96)&gt;AA97+5+$B$18,1,0))</f>
        <v>0</v>
      </c>
      <c r="AB104" s="385" t="n">
        <f aca="false">IF(24&lt;5,0,IF(MAX(W96:AB96)&gt;AB97+5+$B$18,1,0))</f>
        <v>0</v>
      </c>
      <c r="AC104" s="385" t="n">
        <f aca="false">IF(25&lt;5,0,IF(MAX(X96:AC96)&gt;AC97+5+$B$18,1,0))</f>
        <v>0</v>
      </c>
      <c r="AD104" s="385" t="n">
        <f aca="false">IF(26&lt;5,0,IF(MAX(Y96:AD96)&gt;AD97+5+$B$18,1,0))</f>
        <v>0</v>
      </c>
      <c r="AE104" s="385" t="n">
        <f aca="false">IF(27&lt;5,0,IF(MAX(Z96:AE96)&gt;AE97+5+$B$18,1,0))</f>
        <v>0</v>
      </c>
      <c r="AF104" s="385" t="n">
        <f aca="false">IF(28&lt;5,0,IF(MAX(AA96:AF96)&gt;AF97+5+$B$18,1,0))</f>
        <v>0</v>
      </c>
      <c r="AG104" s="385" t="n">
        <f aca="false">IF(29&lt;5,0,IF(MAX(AB96:AG96)&gt;AG97+5+$B$18,1,0))</f>
        <v>0</v>
      </c>
      <c r="AH104" s="385" t="n">
        <f aca="false">IF(30&lt;5,0,IF(MAX(AC96:AH96)&gt;AH97+5+$B$18,1,0))</f>
        <v>0</v>
      </c>
      <c r="AI104" s="385" t="n">
        <f aca="false">IF(31&lt;5,0,IF(MAX(AD96:AI96)&gt;AI97+5+$B$18,1,0))</f>
        <v>0</v>
      </c>
      <c r="AJ104" s="385" t="n">
        <f aca="false">IF(32&lt;5,0,IF(MAX(AE96:AJ96)&gt;AJ97+5+$B$18,1,0))</f>
        <v>0</v>
      </c>
      <c r="AK104" s="385" t="n">
        <f aca="false">IF(33&lt;5,0,IF(MAX(AF96:AK96)&gt;AK97+5+$B$18,1,0))</f>
        <v>0</v>
      </c>
      <c r="AL104" s="385" t="n">
        <f aca="false">IF(34&lt;5,0,IF(MAX(AG96:AL96)&gt;AL97+5+$B$18,1,0))</f>
        <v>0</v>
      </c>
      <c r="AM104" s="385" t="n">
        <f aca="false">IF(35&lt;5,0,IF(MAX(AH96:AM96)&gt;AM97+5+$B$18,1,0))</f>
        <v>0</v>
      </c>
      <c r="AN104" s="385" t="n">
        <f aca="false">IF(36&lt;5,0,IF(MAX(AI96:AN96)&gt;AN97+5+$B$18,1,0))</f>
        <v>0</v>
      </c>
      <c r="AO104" s="385" t="n">
        <f aca="false">IF(37&lt;5,0,IF(MAX(AJ96:AO96)&gt;AO97+5+$B$18,1,0))</f>
        <v>0</v>
      </c>
      <c r="AP104" s="385" t="n">
        <f aca="false">IF(38&lt;5,0,IF(MAX(AK96:AP96)&gt;AP97+5+$B$18,1,0))</f>
        <v>0</v>
      </c>
      <c r="AQ104" s="385" t="n">
        <f aca="false">IF(39&lt;5,0,IF(MAX(AL96:AQ96)&gt;AQ97+5+$B$18,1,0))</f>
        <v>0</v>
      </c>
      <c r="AR104" s="385" t="n">
        <f aca="false">IF(40&lt;5,0,IF(MAX(AM96:AR96)&gt;AR97+5+$B$18,1,0))</f>
        <v>0</v>
      </c>
      <c r="AS104" s="385" t="n">
        <f aca="false">IF(41&lt;5,0,IF(MAX(AN96:AS96)&gt;AS97+5+$B$18,1,0))</f>
        <v>0</v>
      </c>
      <c r="AT104" s="385" t="n">
        <f aca="false">IF(42&lt;5,0,IF(MAX(AO96:AT96)&gt;AT97+5+$B$18,1,0))</f>
        <v>0</v>
      </c>
      <c r="AU104" s="385" t="n">
        <f aca="false">IF(43&lt;5,0,IF(MAX(AP96:AU96)&gt;AU97+5+$B$18,1,0))</f>
        <v>0</v>
      </c>
      <c r="AV104" s="385" t="n">
        <f aca="false">IF(44&lt;5,0,IF(MAX(AQ96:AV96)&gt;AV97+5+$B$18,1,0))</f>
        <v>0</v>
      </c>
      <c r="AW104" s="385" t="n">
        <f aca="false">IF(45&lt;5,0,IF(MAX(AR96:AW96)&gt;AW97+5+$B$18,1,0))</f>
        <v>0</v>
      </c>
      <c r="AX104" s="385" t="n">
        <f aca="false">IF(46&lt;5,0,IF(MAX(AS96:AX96)&gt;AX97+5+$B$18,1,0))</f>
        <v>0</v>
      </c>
      <c r="AY104" s="385" t="n">
        <f aca="false">IF(47&lt;5,0,IF(MAX(AT96:AY96)&gt;AY97+5+$B$18,1,0))</f>
        <v>0</v>
      </c>
      <c r="AZ104" s="385" t="n">
        <f aca="false">IF(48&lt;5,0,IF(MAX(AU96:AZ96)&gt;AZ97+5+$B$18,1,0))</f>
        <v>0</v>
      </c>
      <c r="BA104" s="385" t="n">
        <f aca="false">IF(49&lt;5,0,IF(MAX(AV96:BA96)&gt;BA97+5+$B$18,1,0))</f>
        <v>0</v>
      </c>
      <c r="BB104" s="385" t="n">
        <f aca="false">IF(50&lt;5,0,IF(MAX(AW96:BB96)&gt;BB97+5+$B$18,1,0))</f>
        <v>0</v>
      </c>
      <c r="BC104" s="385" t="n">
        <f aca="false">IF(51&lt;5,0,IF(MAX(AX96:BC96)&gt;BC97+5+$B$18,1,0))</f>
        <v>0</v>
      </c>
      <c r="BD104" s="385" t="n">
        <f aca="false">IF(52&lt;5,0,IF(MAX(AY96:BD96)&gt;BD97+5+$B$18,1,0))</f>
        <v>0</v>
      </c>
      <c r="BE104" s="385" t="n">
        <f aca="false">IF(53&lt;5,0,IF(MAX(AZ96:BE96)&gt;BE97+5+$B$18,1,0))</f>
        <v>0</v>
      </c>
      <c r="BF104" s="385" t="n">
        <f aca="false">IF(54&lt;5,0,IF(MAX(BA96:BF96)&gt;BF97+5+$B$18,1,0))</f>
        <v>0</v>
      </c>
      <c r="BG104" s="385" t="n">
        <f aca="false">IF(55&lt;5,0,IF(MAX(BB96:BG96)&gt;BG97+5+$B$18,1,0))</f>
        <v>0</v>
      </c>
      <c r="BH104" s="385" t="n">
        <f aca="false">IF(56&lt;5,0,IF(MAX(BC96:BH96)&gt;BH97+5+$B$18,1,0))</f>
        <v>0</v>
      </c>
      <c r="BI104" s="385" t="n">
        <f aca="false">IF(57&lt;5,0,IF(MAX(BD96:BI96)&gt;BI97+5+$B$18,1,0))</f>
        <v>0</v>
      </c>
      <c r="BJ104" s="385" t="n">
        <f aca="false">IF(58&lt;5,0,IF(MAX(BE96:BJ96)&gt;BJ97+5+$B$18,1,0))</f>
        <v>0</v>
      </c>
      <c r="BK104" s="385" t="n">
        <f aca="false">IF(59&lt;5,0,IF(MAX(BF96:BK96)&gt;BK97+5+$B$18,1,0))</f>
        <v>0</v>
      </c>
      <c r="BL104" s="385" t="n">
        <f aca="false">IF(60&lt;5,0,IF(MAX(BG96:BL96)&gt;BL97+5+$B$18,1,0))</f>
        <v>0</v>
      </c>
      <c r="BM104" s="385" t="n">
        <f aca="false">IF(61&lt;5,0,IF(MAX(BH96:BM96)&gt;BM97+5+$B$18,1,0))</f>
        <v>0</v>
      </c>
      <c r="BN104" s="385" t="n">
        <f aca="false">IF(62&lt;5,0,IF(MAX(BI96:BN96)&gt;BN97+5+$B$18,1,0))</f>
        <v>0</v>
      </c>
      <c r="BO104" s="385" t="n">
        <f aca="false">IF(63&lt;5,0,IF(MAX(BJ96:BO96)&gt;BO97+5+$B$18,1,0))</f>
        <v>0</v>
      </c>
      <c r="BP104" s="385" t="n">
        <f aca="false">IF(64&lt;5,0,IF(MAX(BK96:BP96)&gt;BP97+5+$B$18,1,0))</f>
        <v>0</v>
      </c>
      <c r="BQ104" s="385" t="n">
        <f aca="false">IF(65&lt;5,0,IF(MAX(BL96:BQ96)&gt;BQ97+5+$B$18,1,0))</f>
        <v>0</v>
      </c>
      <c r="BR104" s="385" t="n">
        <f aca="false">IF(66&lt;5,0,IF(MAX(BM96:BR96)&gt;BR97+5+$B$18,1,0))</f>
        <v>0</v>
      </c>
      <c r="BS104" s="385" t="n">
        <f aca="false">IF(67&lt;5,0,IF(MAX(BN96:BS96)&gt;BS97+5+$B$18,1,0))</f>
        <v>0</v>
      </c>
      <c r="BT104" s="385" t="n">
        <f aca="false">IF(68&lt;5,0,IF(MAX(BO96:BT96)&gt;BT97+5+$B$18,1,0))</f>
        <v>0</v>
      </c>
      <c r="BU104" s="385" t="n">
        <f aca="false">IF(69&lt;5,0,IF(MAX(BP96:BU96)&gt;BU97+5+$B$18,1,0))</f>
        <v>0</v>
      </c>
      <c r="BV104" s="385" t="n">
        <f aca="false">IF(70&lt;5,0,IF(MAX(BQ96:BV96)&gt;BV97+5+$B$18,1,0))</f>
        <v>0</v>
      </c>
      <c r="BW104" s="385" t="n">
        <f aca="false">IF(71&lt;5,0,IF(MAX(BR96:BW96)&gt;BW97+5+$B$18,1,0))</f>
        <v>0</v>
      </c>
      <c r="BX104" s="385" t="n">
        <f aca="false">IF(72&lt;5,0,IF(MAX(BS96:BX96)&gt;BX97+5+$B$18,1,0))</f>
        <v>0</v>
      </c>
      <c r="BY104" s="385" t="n">
        <f aca="false">IF(73&lt;5,0,IF(MAX(BT96:BY96)&gt;BY97+5+$B$18,1,0))</f>
        <v>0</v>
      </c>
      <c r="BZ104" s="385" t="n">
        <f aca="false">IF(74&lt;5,0,IF(MAX(BU96:BZ96)&gt;BZ97+5+$B$18,1,0))</f>
        <v>0</v>
      </c>
      <c r="CA104" s="385" t="n">
        <f aca="false">IF(75&lt;5,0,IF(MAX(BV96:CA96)&gt;CA97+5+$B$18,1,0))</f>
        <v>0</v>
      </c>
      <c r="CB104" s="385" t="n">
        <f aca="false">IF(76&lt;5,0,IF(MAX(BW96:CB96)&gt;CB97+5+$B$18,1,0))</f>
        <v>0</v>
      </c>
      <c r="CC104" s="385" t="n">
        <f aca="false">IF(77&lt;5,0,IF(MAX(BX96:CC96)&gt;CC97+5+$B$18,1,0))</f>
        <v>0</v>
      </c>
      <c r="CD104" s="385" t="n">
        <f aca="false">IF(78&lt;5,0,IF(MAX(BY96:CD96)&gt;CD97+5+$B$18,1,0))</f>
        <v>0</v>
      </c>
      <c r="CE104" s="385" t="n">
        <f aca="false">IF(79&lt;5,0,IF(MAX(BZ96:CE96)&gt;CE97+5+$B$18,1,0))</f>
        <v>0</v>
      </c>
      <c r="CF104" s="385" t="n">
        <f aca="false">IF(80&lt;5,0,IF(MAX(CA96:CF96)&gt;CF97+5+$B$18,1,0))</f>
        <v>0</v>
      </c>
      <c r="CG104" s="385" t="n">
        <f aca="false">IF(81&lt;5,0,IF(MAX(CB96:CG96)&gt;CG97+5+$B$18,1,0))</f>
        <v>0</v>
      </c>
      <c r="CH104" s="385" t="n">
        <f aca="false">IF(82&lt;5,0,IF(MAX(CC96:CH96)&gt;CH97+5+$B$18,1,0))</f>
        <v>0</v>
      </c>
      <c r="CI104" s="385" t="n">
        <f aca="false">IF(83&lt;5,0,IF(MAX(CD96:CI96)&gt;CI97+5+$B$18,1,0))</f>
        <v>0</v>
      </c>
      <c r="CJ104" s="385" t="n">
        <f aca="false">IF(84&lt;5,0,IF(MAX(CE96:CJ96)&gt;CJ97+5+$B$18,1,0))</f>
        <v>0</v>
      </c>
      <c r="CK104" s="385" t="n">
        <f aca="false">IF(85&lt;5,0,IF(MAX(CF96:CK96)&gt;CK97+5+$B$18,1,0))</f>
        <v>0</v>
      </c>
      <c r="CL104" s="385" t="n">
        <f aca="false">IF(86&lt;5,0,IF(MAX(CG96:CL96)&gt;CL97+5+$B$18,1,0))</f>
        <v>0</v>
      </c>
      <c r="CM104" s="385" t="n">
        <f aca="false">IF(87&lt;5,0,IF(MAX(CH96:CM96)&gt;CM97+5+$B$18,1,0))</f>
        <v>0</v>
      </c>
      <c r="CN104" s="385" t="n">
        <f aca="false">IF(88&lt;5,0,IF(MAX(CI96:CN96)&gt;CN97+5+$B$18,1,0))</f>
        <v>0</v>
      </c>
      <c r="CO104" s="385" t="n">
        <f aca="false">IF(89&lt;5,0,IF(MAX(CJ96:CO96)&gt;CO97+5+$B$18,1,0))</f>
        <v>0</v>
      </c>
      <c r="CP104" s="385" t="n">
        <f aca="false">IF(90&lt;5,0,IF(MAX(CK96:CP96)&gt;CP97+5+$B$18,1,0))</f>
        <v>0</v>
      </c>
      <c r="CQ104" s="385" t="n">
        <f aca="false">IF(91&lt;5,0,IF(MAX(CL96:CQ96)&gt;CQ97+5+$B$18,1,0))</f>
        <v>0</v>
      </c>
      <c r="CR104" s="385" t="n">
        <f aca="false">IF(92&lt;5,0,IF(MAX(CM96:CR96)&gt;CR97+5+$B$18,1,0))</f>
        <v>0</v>
      </c>
      <c r="CS104" s="385" t="n">
        <f aca="false">IF(93&lt;5,0,IF(MAX(CN96:CS96)&gt;CS97+5+$B$18,1,0))</f>
        <v>0</v>
      </c>
      <c r="CT104" s="385" t="n">
        <f aca="false">IF(94&lt;5,0,IF(MAX(CO96:CT96)&gt;CT97+5+$B$18,1,0))</f>
        <v>0</v>
      </c>
      <c r="CU104" s="385" t="n">
        <f aca="false">IF(95&lt;5,0,IF(MAX(CP96:CU96)&gt;CU97+5+$B$18,1,0))</f>
        <v>0</v>
      </c>
      <c r="CV104" s="385" t="n">
        <f aca="false">IF(96&lt;5,0,IF(MAX(CQ96:CV96)&gt;CV97+5+$B$18,1,0))</f>
        <v>0</v>
      </c>
      <c r="CW104" s="385" t="n">
        <f aca="false">IF(97&lt;5,0,IF(MAX(CR96:CW96)&gt;CW97+5+$B$18,1,0))</f>
        <v>0</v>
      </c>
      <c r="CX104" s="385" t="n">
        <f aca="false">IF(98&lt;5,0,IF(MAX(CS96:CX96)&gt;CX97+5+$B$18,1,0))</f>
        <v>0</v>
      </c>
      <c r="CY104" s="385" t="n">
        <f aca="false">IF(99&lt;5,0,IF(MAX(CT96:CY96)&gt;CY97+5+$B$18,1,0))</f>
        <v>0</v>
      </c>
      <c r="CZ104" s="385" t="n">
        <f aca="false">IF(100&lt;5,0,IF(MAX(CU96:CZ96)&gt;CZ97+5+$B$18,1,0))</f>
        <v>0</v>
      </c>
      <c r="DA104" s="385" t="n">
        <f aca="false">IF(101&lt;5,0,IF(MAX(CV96:DA96)&gt;DA97+5+$B$18,1,0))</f>
        <v>0</v>
      </c>
      <c r="DB104" s="385" t="n">
        <f aca="false">IF(102&lt;5,0,IF(MAX(CW96:DB96)&gt;DB97+5+$B$18,1,0))</f>
        <v>0</v>
      </c>
      <c r="DC104" s="385" t="n">
        <f aca="false">IF(103&lt;5,0,IF(MAX(CX96:DC96)&gt;DC97+5+$B$18,1,0))</f>
        <v>0</v>
      </c>
      <c r="DD104" s="385" t="n">
        <f aca="false">IF(104&lt;5,0,IF(MAX(CY96:DD96)&gt;DD97+5+$B$18,1,0))</f>
        <v>0</v>
      </c>
      <c r="DE104" s="385" t="n">
        <f aca="false">IF(105&lt;5,0,IF(MAX(CZ96:DE96)&gt;DE97+5+$B$18,1,0))</f>
        <v>0</v>
      </c>
    </row>
    <row r="106" customFormat="false" ht="13.5" hidden="false" customHeight="true" outlineLevel="0" collapsed="false">
      <c r="A106" s="110" t="s">
        <v>1430</v>
      </c>
      <c r="B106" s="381" t="n">
        <v>3</v>
      </c>
    </row>
    <row r="107" customFormat="false" ht="13.5" hidden="false" customHeight="true" outlineLevel="0" collapsed="false">
      <c r="A107" s="110" t="s">
        <v>1431</v>
      </c>
      <c r="B107" s="381" t="n">
        <v>0.5</v>
      </c>
    </row>
    <row r="108" customFormat="false" ht="13.5" hidden="false" customHeight="true" outlineLevel="0" collapsed="false">
      <c r="A108" s="1" t="s">
        <v>1432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1433</v>
      </c>
    </row>
    <row r="2" customFormat="false" ht="13.5" hidden="false" customHeight="true" outlineLevel="0" collapsed="false">
      <c r="A2" s="387" t="s">
        <v>1434</v>
      </c>
    </row>
    <row r="3" customFormat="false" ht="15" hidden="false" customHeight="true" outlineLevel="0" collapsed="false">
      <c r="A3" s="388" t="s">
        <v>1435</v>
      </c>
    </row>
    <row r="4" customFormat="false" ht="15" hidden="false" customHeight="true" outlineLevel="0" collapsed="false">
      <c r="A4" s="120" t="s">
        <v>1436</v>
      </c>
      <c r="C4" s="389" t="n">
        <f aca="false">Assumptions!$B$15</f>
        <v>0.015</v>
      </c>
      <c r="D4" s="390" t="s">
        <v>1437</v>
      </c>
    </row>
    <row r="5" customFormat="false" ht="15" hidden="false" customHeight="true" outlineLevel="0" collapsed="false">
      <c r="A5" s="120" t="s">
        <v>1438</v>
      </c>
      <c r="C5" s="391" t="n">
        <f aca="false">95034/12993776.05</f>
        <v>0.00731380929102591</v>
      </c>
      <c r="D5" s="390" t="s">
        <v>1439</v>
      </c>
    </row>
    <row r="6" customFormat="false" ht="15" hidden="false" customHeight="true" outlineLevel="0" collapsed="false">
      <c r="A6" s="120" t="s">
        <v>1440</v>
      </c>
      <c r="C6" s="389" t="n">
        <f aca="false">Assumptions!$B$17</f>
        <v>0.0325</v>
      </c>
      <c r="D6" s="390" t="s">
        <v>1441</v>
      </c>
    </row>
    <row r="7" customFormat="false" ht="15" hidden="false" customHeight="true" outlineLevel="0" collapsed="false">
      <c r="A7" s="120" t="s">
        <v>1442</v>
      </c>
      <c r="C7" s="392" t="n">
        <v>1800000</v>
      </c>
      <c r="D7" s="390" t="s">
        <v>1443</v>
      </c>
      <c r="F7" s="120" t="s">
        <v>1444</v>
      </c>
      <c r="H7" s="393" t="n">
        <f aca="false">SUMPRODUCT(($S$11:$S$54=1)*($H$11:$H$54&lt;=$C$8)*$Z$11:$Z$54)</f>
        <v>692876.895125</v>
      </c>
    </row>
    <row r="8" customFormat="false" ht="15" hidden="false" customHeight="true" outlineLevel="0" collapsed="false">
      <c r="A8" s="120" t="s">
        <v>1445</v>
      </c>
      <c r="C8" s="394" t="n">
        <f aca="false">SUMPRODUCT(--(Model!$B$4:$DE$4="Actuals"))-3</f>
        <v>5</v>
      </c>
      <c r="D8" s="390" t="s">
        <v>1446</v>
      </c>
      <c r="F8" s="120" t="s">
        <v>1447</v>
      </c>
      <c r="H8" s="393" t="n">
        <f aca="false">SUMIFS($O$11:$O$54,$H$11:$H$54,"&lt;="&amp;$C$8)</f>
        <v>0</v>
      </c>
    </row>
    <row r="9" customFormat="false" ht="15" hidden="false" customHeight="true" outlineLevel="0" collapsed="false">
      <c r="A9" s="120" t="s">
        <v>1448</v>
      </c>
      <c r="C9" s="395" t="n">
        <f aca="false">SUM(AC11:AC54)</f>
        <v>692876.895125</v>
      </c>
      <c r="D9" s="390" t="s">
        <v>1449</v>
      </c>
      <c r="F9" s="120" t="s">
        <v>1450</v>
      </c>
      <c r="H9" s="396" t="n">
        <v>10</v>
      </c>
    </row>
    <row r="10" customFormat="false" ht="48" hidden="false" customHeight="true" outlineLevel="0" collapsed="false">
      <c r="A10" s="176" t="s">
        <v>457</v>
      </c>
      <c r="B10" s="176" t="s">
        <v>1451</v>
      </c>
      <c r="C10" s="176" t="s">
        <v>555</v>
      </c>
      <c r="D10" s="176" t="s">
        <v>556</v>
      </c>
      <c r="E10" s="176" t="s">
        <v>1452</v>
      </c>
      <c r="F10" s="176" t="s">
        <v>1453</v>
      </c>
      <c r="G10" s="176" t="s">
        <v>1454</v>
      </c>
      <c r="H10" s="176" t="s">
        <v>1455</v>
      </c>
      <c r="I10" s="176" t="s">
        <v>1456</v>
      </c>
      <c r="J10" s="176" t="s">
        <v>1457</v>
      </c>
      <c r="K10" s="176" t="s">
        <v>1458</v>
      </c>
      <c r="L10" s="176" t="s">
        <v>1459</v>
      </c>
      <c r="M10" s="176" t="s">
        <v>1458</v>
      </c>
      <c r="N10" s="176" t="s">
        <v>1460</v>
      </c>
      <c r="O10" s="176" t="s">
        <v>1461</v>
      </c>
      <c r="P10" s="176" t="s">
        <v>1458</v>
      </c>
      <c r="Q10" s="176" t="s">
        <v>1462</v>
      </c>
      <c r="R10" s="176" t="s">
        <v>1463</v>
      </c>
      <c r="S10" s="176" t="s">
        <v>1464</v>
      </c>
      <c r="T10" s="176" t="s">
        <v>1465</v>
      </c>
      <c r="U10" s="176" t="s">
        <v>1466</v>
      </c>
      <c r="V10" s="176" t="s">
        <v>1467</v>
      </c>
      <c r="W10" s="176" t="s">
        <v>1468</v>
      </c>
      <c r="X10" s="176" t="s">
        <v>1469</v>
      </c>
      <c r="Y10" s="176" t="s">
        <v>1470</v>
      </c>
      <c r="Z10" s="176" t="s">
        <v>1471</v>
      </c>
      <c r="AA10" s="176" t="s">
        <v>1472</v>
      </c>
      <c r="AB10" s="176" t="s">
        <v>1473</v>
      </c>
      <c r="AC10" s="176" t="s">
        <v>1474</v>
      </c>
      <c r="AD10" s="176" t="s">
        <v>617</v>
      </c>
    </row>
    <row r="11" customFormat="false" ht="15" hidden="false" customHeight="true" outlineLevel="0" collapsed="false">
      <c r="A11" s="397" t="str">
        <f aca="false">Projects!$A$2</f>
        <v>Crenshaw</v>
      </c>
      <c r="B11" s="398"/>
      <c r="C11" s="399" t="str">
        <f aca="false">Projects!$F$2</f>
        <v>No</v>
      </c>
      <c r="D11" s="399" t="str">
        <f aca="false">Projects!$G$2</f>
        <v>Yes</v>
      </c>
      <c r="E11" s="400"/>
      <c r="F11" s="401" t="n">
        <f aca="false">IF($E11&lt;&gt;"",$E11,Projects!$B$2)</f>
        <v>7126075</v>
      </c>
      <c r="G11" s="398"/>
      <c r="H11" s="402" t="n">
        <f aca="false">IF($G11&lt;&gt;"",$G11,Projects!$C$2)</f>
        <v>1</v>
      </c>
      <c r="I11" s="403"/>
      <c r="J11" s="400"/>
      <c r="K11" s="398"/>
      <c r="L11" s="400"/>
      <c r="M11" s="398"/>
      <c r="N11" s="403"/>
      <c r="O11" s="400"/>
      <c r="P11" s="398"/>
      <c r="Q11" s="400"/>
      <c r="R11" s="398"/>
      <c r="S11" s="402" t="n">
        <f aca="false">IF(AND($C11="Yes",$D11="Yes"),1,0)</f>
        <v>0</v>
      </c>
      <c r="T11" s="401" t="n">
        <f aca="false">$S11*IF($J11&lt;&gt;"",$J11,$F11*IF($I11&lt;&gt;"",$I11,$C$4)/(1+IF($I11&lt;&gt;"",$I11,$C$4)))</f>
        <v>0</v>
      </c>
      <c r="U11" s="401" t="n">
        <f aca="false">$S11*IF($L11&lt;&gt;"",$L11,$F11*$C$5)</f>
        <v>0</v>
      </c>
      <c r="V11" s="401" t="n">
        <f aca="false">$S11*$F11*IF($N11&lt;&gt;"",$N11,$C$6)</f>
        <v>0</v>
      </c>
      <c r="W11" s="401" t="n">
        <f aca="false">MAX(0,$V11-$U11)</f>
        <v>0</v>
      </c>
      <c r="X11" s="402" t="n">
        <f aca="false">IF($B11&lt;&gt;"",$B11,100+$H11)</f>
        <v>101</v>
      </c>
      <c r="Y11" s="401" t="n">
        <f aca="false">$S11*MAX(0,MIN($W11,$C$7-SUMIFS($W$11:$W$54,$X$11:$X$54,"&lt;"&amp;$X11)))</f>
        <v>0</v>
      </c>
      <c r="Z11" s="401" t="n">
        <f aca="false">$W11-$Y11</f>
        <v>0</v>
      </c>
      <c r="AA11" s="404" t="n">
        <f aca="false">$S11*($T11-$U11-$Z11)</f>
        <v>0</v>
      </c>
      <c r="AB11" s="404" t="n">
        <f aca="false">$S11*($T11-$U11)</f>
        <v>0</v>
      </c>
      <c r="AC11" s="401" t="n">
        <f aca="false">IF(AND($S11=1,$H11&lt;=$C$8),$Z11-N($O11),0)</f>
        <v>0</v>
      </c>
      <c r="AD11" s="405"/>
    </row>
    <row r="12" customFormat="false" ht="15" hidden="false" customHeight="true" outlineLevel="0" collapsed="false">
      <c r="A12" s="406" t="str">
        <f aca="false">Projects!$A$3</f>
        <v>Ramsgate</v>
      </c>
      <c r="B12" s="398"/>
      <c r="C12" s="407" t="str">
        <f aca="false">Projects!$F$3</f>
        <v>No</v>
      </c>
      <c r="D12" s="407" t="str">
        <f aca="false">Projects!$G$3</f>
        <v>Yes</v>
      </c>
      <c r="E12" s="400"/>
      <c r="F12" s="408" t="n">
        <f aca="false">IF($E12&lt;&gt;"",$E12,Projects!$B$3)</f>
        <v>20176449</v>
      </c>
      <c r="G12" s="398"/>
      <c r="H12" s="409" t="n">
        <f aca="false">IF($G12&lt;&gt;"",$G12,Projects!$C$3)</f>
        <v>1</v>
      </c>
      <c r="I12" s="403"/>
      <c r="J12" s="400"/>
      <c r="K12" s="398"/>
      <c r="L12" s="400"/>
      <c r="M12" s="398"/>
      <c r="N12" s="403"/>
      <c r="O12" s="400"/>
      <c r="P12" s="398"/>
      <c r="Q12" s="400"/>
      <c r="R12" s="398"/>
      <c r="S12" s="409" t="n">
        <f aca="false">IF(AND($C12="Yes",$D12="Yes"),1,0)</f>
        <v>0</v>
      </c>
      <c r="T12" s="408" t="n">
        <f aca="false">$S12*IF($J12&lt;&gt;"",$J12,$F12*IF($I12&lt;&gt;"",$I12,$C$4)/(1+IF($I12&lt;&gt;"",$I12,$C$4)))</f>
        <v>0</v>
      </c>
      <c r="U12" s="408" t="n">
        <f aca="false">$S12*IF($L12&lt;&gt;"",$L12,$F12*$C$5)</f>
        <v>0</v>
      </c>
      <c r="V12" s="408" t="n">
        <f aca="false">$S12*$F12*IF($N12&lt;&gt;"",$N12,$C$6)</f>
        <v>0</v>
      </c>
      <c r="W12" s="408" t="n">
        <f aca="false">MAX(0,$V12-$U12)</f>
        <v>0</v>
      </c>
      <c r="X12" s="409" t="n">
        <f aca="false">IF($B12&lt;&gt;"",$B12,100+$H12)</f>
        <v>101</v>
      </c>
      <c r="Y12" s="408" t="n">
        <f aca="false">$S12*MAX(0,MIN($W12,$C$7-SUMIFS($W$11:$W$54,$X$11:$X$54,"&lt;"&amp;$X12)))</f>
        <v>0</v>
      </c>
      <c r="Z12" s="408" t="n">
        <f aca="false">$W12-$Y12</f>
        <v>0</v>
      </c>
      <c r="AA12" s="410" t="n">
        <f aca="false">$S12*($T12-$U12-$Z12)</f>
        <v>0</v>
      </c>
      <c r="AB12" s="410" t="n">
        <f aca="false">$S12*($T12-$U12)</f>
        <v>0</v>
      </c>
      <c r="AC12" s="408" t="n">
        <f aca="false">IF(AND($S12=1,$H12&lt;=$C$8),$Z12-N($O12),0)</f>
        <v>0</v>
      </c>
      <c r="AD12" s="411"/>
    </row>
    <row r="13" customFormat="false" ht="15" hidden="false" customHeight="true" outlineLevel="0" collapsed="false">
      <c r="A13" s="397" t="str">
        <f aca="false">Projects!$A$4</f>
        <v>Califa</v>
      </c>
      <c r="B13" s="398" t="n">
        <v>1</v>
      </c>
      <c r="C13" s="399" t="str">
        <f aca="false">Projects!$F$4</f>
        <v>Yes</v>
      </c>
      <c r="D13" s="399" t="str">
        <f aca="false">Projects!$G$4</f>
        <v>Yes</v>
      </c>
      <c r="E13" s="400" t="n">
        <v>13425608</v>
      </c>
      <c r="F13" s="401" t="n">
        <f aca="false">IF($E13&lt;&gt;"",$E13,Projects!$B$4)</f>
        <v>13425608</v>
      </c>
      <c r="G13" s="398" t="n">
        <v>-99</v>
      </c>
      <c r="H13" s="402" t="n">
        <f aca="false">IF($G13&lt;&gt;"",$G13,Projects!$C$4)</f>
        <v>-99</v>
      </c>
      <c r="I13" s="403"/>
      <c r="J13" s="400" t="n">
        <v>198408</v>
      </c>
      <c r="K13" s="398" t="n">
        <v>-99</v>
      </c>
      <c r="L13" s="400" t="n">
        <v>97905</v>
      </c>
      <c r="M13" s="398" t="n">
        <v>-99</v>
      </c>
      <c r="N13" s="403"/>
      <c r="O13" s="400"/>
      <c r="P13" s="398"/>
      <c r="Q13" s="400"/>
      <c r="R13" s="398"/>
      <c r="S13" s="402" t="n">
        <f aca="false">IF(AND($C13="Yes",$D13="Yes"),1,0)</f>
        <v>1</v>
      </c>
      <c r="T13" s="401" t="n">
        <f aca="false">$S13*IF($J13&lt;&gt;"",$J13,$F13*IF($I13&lt;&gt;"",$I13,$C$4)/(1+IF($I13&lt;&gt;"",$I13,$C$4)))</f>
        <v>198408</v>
      </c>
      <c r="U13" s="401" t="n">
        <f aca="false">$S13*IF($L13&lt;&gt;"",$L13,$F13*$C$5)</f>
        <v>97905</v>
      </c>
      <c r="V13" s="401" t="n">
        <f aca="false">$S13*$F13*IF($N13&lt;&gt;"",$N13,$C$6)</f>
        <v>436332.26</v>
      </c>
      <c r="W13" s="401" t="n">
        <f aca="false">MAX(0,$V13-$U13)</f>
        <v>338427.26</v>
      </c>
      <c r="X13" s="402" t="n">
        <f aca="false">IF($B13&lt;&gt;"",$B13,100+$H13)</f>
        <v>1</v>
      </c>
      <c r="Y13" s="401" t="n">
        <f aca="false">$S13*MAX(0,MIN($W13,$C$7-SUMIFS($W$11:$W$54,$X$11:$X$54,"&lt;"&amp;$X13)))</f>
        <v>338427.26</v>
      </c>
      <c r="Z13" s="401" t="n">
        <f aca="false">$W13-$Y13</f>
        <v>0</v>
      </c>
      <c r="AA13" s="404" t="n">
        <f aca="false">$S13*($T13-$U13-$Z13)</f>
        <v>100503</v>
      </c>
      <c r="AB13" s="404" t="n">
        <f aca="false">$S13*($T13-$U13)</f>
        <v>100503</v>
      </c>
      <c r="AC13" s="401" t="n">
        <f aca="false">IF(AND($S13=1,$H13&lt;=$C$8),$Z13-N($O13),0)</f>
        <v>0</v>
      </c>
      <c r="AD13" s="405" t="s">
        <v>1475</v>
      </c>
    </row>
    <row r="14" customFormat="false" ht="15" hidden="false" customHeight="true" outlineLevel="0" collapsed="false">
      <c r="A14" s="406" t="str">
        <f aca="false">Projects!$A$5</f>
        <v>Whipple</v>
      </c>
      <c r="B14" s="398" t="n">
        <v>2</v>
      </c>
      <c r="C14" s="407" t="str">
        <f aca="false">Projects!$F$5</f>
        <v>Yes</v>
      </c>
      <c r="D14" s="407" t="str">
        <f aca="false">Projects!$G$5</f>
        <v>Yes</v>
      </c>
      <c r="E14" s="400" t="n">
        <v>15347360</v>
      </c>
      <c r="F14" s="408" t="n">
        <f aca="false">IF($E14&lt;&gt;"",$E14,Projects!$B$5)</f>
        <v>15347360</v>
      </c>
      <c r="G14" s="398" t="n">
        <v>-99</v>
      </c>
      <c r="H14" s="409" t="n">
        <f aca="false">IF($G14&lt;&gt;"",$G14,Projects!$C$5)</f>
        <v>-99</v>
      </c>
      <c r="I14" s="403"/>
      <c r="J14" s="400" t="n">
        <v>226808</v>
      </c>
      <c r="K14" s="398" t="n">
        <v>-99</v>
      </c>
      <c r="L14" s="400" t="n">
        <v>110685</v>
      </c>
      <c r="M14" s="398" t="n">
        <v>-99</v>
      </c>
      <c r="N14" s="403"/>
      <c r="O14" s="400"/>
      <c r="P14" s="398"/>
      <c r="Q14" s="400"/>
      <c r="R14" s="398"/>
      <c r="S14" s="409" t="n">
        <f aca="false">IF(AND($C14="Yes",$D14="Yes"),1,0)</f>
        <v>1</v>
      </c>
      <c r="T14" s="408" t="n">
        <f aca="false">$S14*IF($J14&lt;&gt;"",$J14,$F14*IF($I14&lt;&gt;"",$I14,$C$4)/(1+IF($I14&lt;&gt;"",$I14,$C$4)))</f>
        <v>226808</v>
      </c>
      <c r="U14" s="408" t="n">
        <f aca="false">$S14*IF($L14&lt;&gt;"",$L14,$F14*$C$5)</f>
        <v>110685</v>
      </c>
      <c r="V14" s="408" t="n">
        <f aca="false">$S14*$F14*IF($N14&lt;&gt;"",$N14,$C$6)</f>
        <v>498789.2</v>
      </c>
      <c r="W14" s="408" t="n">
        <f aca="false">MAX(0,$V14-$U14)</f>
        <v>388104.2</v>
      </c>
      <c r="X14" s="409" t="n">
        <f aca="false">IF($B14&lt;&gt;"",$B14,100+$H14)</f>
        <v>2</v>
      </c>
      <c r="Y14" s="408" t="n">
        <f aca="false">$S14*MAX(0,MIN($W14,$C$7-SUMIFS($W$11:$W$54,$X$11:$X$54,"&lt;"&amp;$X14)))</f>
        <v>388104.2</v>
      </c>
      <c r="Z14" s="408" t="n">
        <f aca="false">$W14-$Y14</f>
        <v>0</v>
      </c>
      <c r="AA14" s="410" t="n">
        <f aca="false">$S14*($T14-$U14-$Z14)</f>
        <v>116123</v>
      </c>
      <c r="AB14" s="410" t="n">
        <f aca="false">$S14*($T14-$U14)</f>
        <v>116123</v>
      </c>
      <c r="AC14" s="408" t="n">
        <f aca="false">IF(AND($S14=1,$H14&lt;=$C$8),$Z14-N($O14),0)</f>
        <v>0</v>
      </c>
      <c r="AD14" s="411" t="s">
        <v>1475</v>
      </c>
    </row>
    <row r="15" customFormat="false" ht="15" hidden="false" customHeight="true" outlineLevel="0" collapsed="false">
      <c r="A15" s="397" t="str">
        <f aca="false">Projects!$A$6</f>
        <v>Nelrose</v>
      </c>
      <c r="B15" s="398"/>
      <c r="C15" s="399" t="str">
        <f aca="false">Projects!$F$6</f>
        <v>No</v>
      </c>
      <c r="D15" s="399" t="str">
        <f aca="false">Projects!$G$6</f>
        <v>Yes</v>
      </c>
      <c r="E15" s="400"/>
      <c r="F15" s="401" t="n">
        <f aca="false">IF($E15&lt;&gt;"",$E15,Projects!$B$6)</f>
        <v>3623245</v>
      </c>
      <c r="G15" s="398"/>
      <c r="H15" s="402" t="n">
        <f aca="false">IF($G15&lt;&gt;"",$G15,Projects!$C$6)</f>
        <v>1</v>
      </c>
      <c r="I15" s="403"/>
      <c r="J15" s="400"/>
      <c r="K15" s="398"/>
      <c r="L15" s="400"/>
      <c r="M15" s="398"/>
      <c r="N15" s="403"/>
      <c r="O15" s="400"/>
      <c r="P15" s="398"/>
      <c r="Q15" s="400"/>
      <c r="R15" s="398"/>
      <c r="S15" s="402" t="n">
        <f aca="false">IF(AND($C15="Yes",$D15="Yes"),1,0)</f>
        <v>0</v>
      </c>
      <c r="T15" s="401" t="n">
        <f aca="false">$S15*IF($J15&lt;&gt;"",$J15,$F15*IF($I15&lt;&gt;"",$I15,$C$4)/(1+IF($I15&lt;&gt;"",$I15,$C$4)))</f>
        <v>0</v>
      </c>
      <c r="U15" s="401" t="n">
        <f aca="false">$S15*IF($L15&lt;&gt;"",$L15,$F15*$C$5)</f>
        <v>0</v>
      </c>
      <c r="V15" s="401" t="n">
        <f aca="false">$S15*$F15*IF($N15&lt;&gt;"",$N15,$C$6)</f>
        <v>0</v>
      </c>
      <c r="W15" s="401" t="n">
        <f aca="false">MAX(0,$V15-$U15)</f>
        <v>0</v>
      </c>
      <c r="X15" s="402" t="n">
        <f aca="false">IF($B15&lt;&gt;"",$B15,100+$H15)</f>
        <v>101</v>
      </c>
      <c r="Y15" s="401" t="n">
        <f aca="false">$S15*MAX(0,MIN($W15,$C$7-SUMIFS($W$11:$W$54,$X$11:$X$54,"&lt;"&amp;$X15)))</f>
        <v>0</v>
      </c>
      <c r="Z15" s="401" t="n">
        <f aca="false">$W15-$Y15</f>
        <v>0</v>
      </c>
      <c r="AA15" s="404" t="n">
        <f aca="false">$S15*($T15-$U15-$Z15)</f>
        <v>0</v>
      </c>
      <c r="AB15" s="404" t="n">
        <f aca="false">$S15*($T15-$U15)</f>
        <v>0</v>
      </c>
      <c r="AC15" s="401" t="n">
        <f aca="false">IF(AND($S15=1,$H15&lt;=$C$8),$Z15-N($O15),0)</f>
        <v>0</v>
      </c>
      <c r="AD15" s="405"/>
    </row>
    <row r="16" customFormat="false" ht="15" hidden="false" customHeight="true" outlineLevel="0" collapsed="false">
      <c r="A16" s="406" t="str">
        <f aca="false">Projects!$A$7</f>
        <v>Francis</v>
      </c>
      <c r="B16" s="398" t="n">
        <v>4</v>
      </c>
      <c r="C16" s="407" t="str">
        <f aca="false">Projects!$F$7</f>
        <v>Yes</v>
      </c>
      <c r="D16" s="407" t="str">
        <f aca="false">Projects!$G$7</f>
        <v>Yes</v>
      </c>
      <c r="E16" s="400"/>
      <c r="F16" s="408" t="n">
        <f aca="false">IF($E16&lt;&gt;"",$E16,Projects!$B$7)</f>
        <v>42794765</v>
      </c>
      <c r="G16" s="398" t="n">
        <v>4</v>
      </c>
      <c r="H16" s="409" t="n">
        <f aca="false">IF($G16&lt;&gt;"",$G16,Projects!$C$7)</f>
        <v>4</v>
      </c>
      <c r="I16" s="403" t="n">
        <v>0.02</v>
      </c>
      <c r="J16" s="400" t="n">
        <v>839113</v>
      </c>
      <c r="K16" s="398" t="n">
        <v>4</v>
      </c>
      <c r="L16" s="400" t="n">
        <v>313735</v>
      </c>
      <c r="M16" s="398" t="n">
        <v>5</v>
      </c>
      <c r="N16" s="403"/>
      <c r="O16" s="400"/>
      <c r="P16" s="398"/>
      <c r="Q16" s="400"/>
      <c r="R16" s="398"/>
      <c r="S16" s="409" t="n">
        <f aca="false">IF(AND($C16="Yes",$D16="Yes"),1,0)</f>
        <v>1</v>
      </c>
      <c r="T16" s="408" t="n">
        <f aca="false">$S16*IF($J16&lt;&gt;"",$J16,$F16*IF($I16&lt;&gt;"",$I16,$C$4)/(1+IF($I16&lt;&gt;"",$I16,$C$4)))</f>
        <v>839113</v>
      </c>
      <c r="U16" s="408" t="n">
        <f aca="false">$S16*IF($L16&lt;&gt;"",$L16,$F16*$C$5)</f>
        <v>313735</v>
      </c>
      <c r="V16" s="408" t="n">
        <f aca="false">$S16*$F16*IF($N16&lt;&gt;"",$N16,$C$6)</f>
        <v>1390829.8625</v>
      </c>
      <c r="W16" s="408" t="n">
        <f aca="false">MAX(0,$V16-$U16)</f>
        <v>1077094.8625</v>
      </c>
      <c r="X16" s="409" t="n">
        <f aca="false">IF($B16&lt;&gt;"",$B16,100+$H16)</f>
        <v>4</v>
      </c>
      <c r="Y16" s="408" t="n">
        <f aca="false">$S16*MAX(0,MIN($W16,$C$7-SUMIFS($W$11:$W$54,$X$11:$X$54,"&lt;"&amp;$X16)))</f>
        <v>711481.689</v>
      </c>
      <c r="Z16" s="408" t="n">
        <f aca="false">$W16-$Y16</f>
        <v>365613.1735</v>
      </c>
      <c r="AA16" s="410" t="n">
        <f aca="false">$S16*($T16-$U16-$Z16)</f>
        <v>159764.8265</v>
      </c>
      <c r="AB16" s="410" t="n">
        <f aca="false">$S16*($T16-$U16)</f>
        <v>525378</v>
      </c>
      <c r="AC16" s="408" t="n">
        <f aca="false">IF(AND($S16=1,$H16&lt;=$C$8),$Z16-N($O16),0)</f>
        <v>365613.1735</v>
      </c>
      <c r="AD16" s="411" t="s">
        <v>1476</v>
      </c>
    </row>
    <row r="17" customFormat="false" ht="15" hidden="false" customHeight="true" outlineLevel="0" collapsed="false">
      <c r="A17" s="397" t="str">
        <f aca="false">Projects!$A$8</f>
        <v>Lexington</v>
      </c>
      <c r="B17" s="398" t="n">
        <v>5</v>
      </c>
      <c r="C17" s="399" t="str">
        <f aca="false">Projects!$F$8</f>
        <v>Yes</v>
      </c>
      <c r="D17" s="399" t="str">
        <f aca="false">Projects!$G$8</f>
        <v>Yes</v>
      </c>
      <c r="E17" s="400"/>
      <c r="F17" s="401" t="n">
        <f aca="false">IF($E17&lt;&gt;"",$E17,Projects!$B$8)</f>
        <v>12993776.05</v>
      </c>
      <c r="G17" s="398" t="n">
        <v>5</v>
      </c>
      <c r="H17" s="402" t="n">
        <f aca="false">IF($G17&lt;&gt;"",$G17,Projects!$C$8)</f>
        <v>5</v>
      </c>
      <c r="I17" s="403"/>
      <c r="J17" s="400" t="n">
        <v>192026.25</v>
      </c>
      <c r="K17" s="398" t="n">
        <v>5</v>
      </c>
      <c r="L17" s="400" t="n">
        <v>95034</v>
      </c>
      <c r="M17" s="398" t="n">
        <v>5</v>
      </c>
      <c r="N17" s="403"/>
      <c r="O17" s="400"/>
      <c r="P17" s="398"/>
      <c r="Q17" s="400"/>
      <c r="R17" s="398"/>
      <c r="S17" s="402" t="n">
        <f aca="false">IF(AND($C17="Yes",$D17="Yes"),1,0)</f>
        <v>1</v>
      </c>
      <c r="T17" s="401" t="n">
        <f aca="false">$S17*IF($J17&lt;&gt;"",$J17,$F17*IF($I17&lt;&gt;"",$I17,$C$4)/(1+IF($I17&lt;&gt;"",$I17,$C$4)))</f>
        <v>192026.25</v>
      </c>
      <c r="U17" s="401" t="n">
        <f aca="false">$S17*IF($L17&lt;&gt;"",$L17,$F17*$C$5)</f>
        <v>95034</v>
      </c>
      <c r="V17" s="401" t="n">
        <f aca="false">$S17*$F17*IF($N17&lt;&gt;"",$N17,$C$6)</f>
        <v>422297.721625</v>
      </c>
      <c r="W17" s="401" t="n">
        <f aca="false">MAX(0,$V17-$U17)</f>
        <v>327263.721625</v>
      </c>
      <c r="X17" s="402" t="n">
        <f aca="false">IF($B17&lt;&gt;"",$B17,100+$H17)</f>
        <v>5</v>
      </c>
      <c r="Y17" s="401" t="n">
        <f aca="false">$S17*MAX(0,MIN($W17,$C$7-SUMIFS($W$11:$W$54,$X$11:$X$54,"&lt;"&amp;$X17)))</f>
        <v>0</v>
      </c>
      <c r="Z17" s="401" t="n">
        <f aca="false">$W17-$Y17</f>
        <v>327263.721625</v>
      </c>
      <c r="AA17" s="404" t="n">
        <f aca="false">$S17*($T17-$U17-$Z17)</f>
        <v>-230271.471625</v>
      </c>
      <c r="AB17" s="404" t="n">
        <f aca="false">$S17*($T17-$U17)</f>
        <v>96992.25</v>
      </c>
      <c r="AC17" s="401" t="n">
        <f aca="false">IF(AND($S17=1,$H17&lt;=$C$8),$Z17-N($O17),0)</f>
        <v>327263.721625</v>
      </c>
      <c r="AD17" s="405" t="s">
        <v>1477</v>
      </c>
    </row>
    <row r="18" customFormat="false" ht="15" hidden="false" customHeight="true" outlineLevel="0" collapsed="false">
      <c r="A18" s="406" t="str">
        <f aca="false">Projects!$A$9</f>
        <v>Riverton</v>
      </c>
      <c r="B18" s="398" t="n">
        <v>3</v>
      </c>
      <c r="C18" s="407" t="str">
        <f aca="false">Projects!$F$9</f>
        <v>Yes</v>
      </c>
      <c r="D18" s="407" t="str">
        <f aca="false">Projects!$G$9</f>
        <v>Yes</v>
      </c>
      <c r="E18" s="400"/>
      <c r="F18" s="408" t="n">
        <f aca="false">IF($E18&lt;&gt;"",$E18,Projects!$B$9)</f>
        <v>14337010.8</v>
      </c>
      <c r="G18" s="398" t="n">
        <v>4</v>
      </c>
      <c r="H18" s="409" t="n">
        <f aca="false">IF($G18&lt;&gt;"",$G18,Projects!$C$9)</f>
        <v>4</v>
      </c>
      <c r="I18" s="403"/>
      <c r="J18" s="400" t="n">
        <v>211877</v>
      </c>
      <c r="K18" s="398" t="n">
        <v>4</v>
      </c>
      <c r="L18" s="400" t="n">
        <v>103966</v>
      </c>
      <c r="M18" s="398" t="n">
        <v>4</v>
      </c>
      <c r="N18" s="403"/>
      <c r="O18" s="400"/>
      <c r="P18" s="398"/>
      <c r="Q18" s="400"/>
      <c r="R18" s="398"/>
      <c r="S18" s="409" t="n">
        <f aca="false">IF(AND($C18="Yes",$D18="Yes"),1,0)</f>
        <v>1</v>
      </c>
      <c r="T18" s="408" t="n">
        <f aca="false">$S18*IF($J18&lt;&gt;"",$J18,$F18*IF($I18&lt;&gt;"",$I18,$C$4)/(1+IF($I18&lt;&gt;"",$I18,$C$4)))</f>
        <v>211877</v>
      </c>
      <c r="U18" s="408" t="n">
        <f aca="false">$S18*IF($L18&lt;&gt;"",$L18,$F18*$C$5)</f>
        <v>103966</v>
      </c>
      <c r="V18" s="408" t="n">
        <f aca="false">$S18*$F18*IF($N18&lt;&gt;"",$N18,$C$6)</f>
        <v>465952.851</v>
      </c>
      <c r="W18" s="408" t="n">
        <f aca="false">MAX(0,$V18-$U18)</f>
        <v>361986.851</v>
      </c>
      <c r="X18" s="409" t="n">
        <f aca="false">IF($B18&lt;&gt;"",$B18,100+$H18)</f>
        <v>3</v>
      </c>
      <c r="Y18" s="408" t="n">
        <f aca="false">$S18*MAX(0,MIN($W18,$C$7-SUMIFS($W$11:$W$54,$X$11:$X$54,"&lt;"&amp;$X18)))</f>
        <v>361986.851</v>
      </c>
      <c r="Z18" s="408" t="n">
        <f aca="false">$W18-$Y18</f>
        <v>0</v>
      </c>
      <c r="AA18" s="410" t="n">
        <f aca="false">$S18*($T18-$U18-$Z18)</f>
        <v>107911</v>
      </c>
      <c r="AB18" s="410" t="n">
        <f aca="false">$S18*($T18-$U18)</f>
        <v>107911</v>
      </c>
      <c r="AC18" s="408" t="n">
        <f aca="false">IF(AND($S18=1,$H18&lt;=$C$8),$Z18-N($O18),0)</f>
        <v>0</v>
      </c>
      <c r="AD18" s="411" t="s">
        <v>1478</v>
      </c>
    </row>
    <row r="19" customFormat="false" ht="15" hidden="false" customHeight="true" outlineLevel="0" collapsed="false">
      <c r="A19" s="397" t="str">
        <f aca="false">Projects!$A$10</f>
        <v>Acama</v>
      </c>
      <c r="B19" s="398"/>
      <c r="C19" s="399" t="str">
        <f aca="false">Projects!$F$10</f>
        <v>Yes</v>
      </c>
      <c r="D19" s="399" t="str">
        <f aca="false">Projects!$G$10</f>
        <v>Yes</v>
      </c>
      <c r="E19" s="400"/>
      <c r="F19" s="401" t="n">
        <f aca="false">IF($E19&lt;&gt;"",$E19,Projects!$B$10)</f>
        <v>21263405</v>
      </c>
      <c r="G19" s="398"/>
      <c r="H19" s="402" t="n">
        <f aca="false">IF($G19&lt;&gt;"",$G19,Projects!$C$10)</f>
        <v>9</v>
      </c>
      <c r="I19" s="403"/>
      <c r="J19" s="400"/>
      <c r="K19" s="398"/>
      <c r="L19" s="400"/>
      <c r="M19" s="398"/>
      <c r="N19" s="403"/>
      <c r="O19" s="400"/>
      <c r="P19" s="398"/>
      <c r="Q19" s="400"/>
      <c r="R19" s="398"/>
      <c r="S19" s="402" t="n">
        <f aca="false">IF(AND($C19="Yes",$D19="Yes"),1,0)</f>
        <v>1</v>
      </c>
      <c r="T19" s="401" t="n">
        <f aca="false">$S19*IF($J19&lt;&gt;"",$J19,$F19*IF($I19&lt;&gt;"",$I19,$C$4)/(1+IF($I19&lt;&gt;"",$I19,$C$4)))</f>
        <v>314237.512315271</v>
      </c>
      <c r="U19" s="401" t="n">
        <f aca="false">$S19*IF($L19&lt;&gt;"",$L19,$F19*$C$5)</f>
        <v>155516.489047847</v>
      </c>
      <c r="V19" s="401" t="n">
        <f aca="false">$S19*$F19*IF($N19&lt;&gt;"",$N19,$C$6)</f>
        <v>691060.6625</v>
      </c>
      <c r="W19" s="401" t="n">
        <f aca="false">MAX(0,$V19-$U19)</f>
        <v>535544.173452153</v>
      </c>
      <c r="X19" s="402" t="n">
        <f aca="false">IF($B19&lt;&gt;"",$B19,100+$H19)</f>
        <v>109</v>
      </c>
      <c r="Y19" s="401" t="n">
        <f aca="false">$S19*MAX(0,MIN($W19,$C$7-SUMIFS($W$11:$W$54,$X$11:$X$54,"&lt;"&amp;$X19)))</f>
        <v>0</v>
      </c>
      <c r="Z19" s="401" t="n">
        <f aca="false">$W19-$Y19</f>
        <v>535544.173452153</v>
      </c>
      <c r="AA19" s="404" t="n">
        <f aca="false">$S19*($T19-$U19-$Z19)</f>
        <v>-376823.150184729</v>
      </c>
      <c r="AB19" s="404" t="n">
        <f aca="false">$S19*($T19-$U19)</f>
        <v>158721.023267424</v>
      </c>
      <c r="AC19" s="401" t="n">
        <f aca="false">IF(AND($S19=1,$H19&lt;=$C$8),$Z19-N($O19),0)</f>
        <v>0</v>
      </c>
      <c r="AD19" s="405" t="s">
        <v>1479</v>
      </c>
    </row>
    <row r="20" customFormat="false" ht="15" hidden="false" customHeight="true" outlineLevel="0" collapsed="false">
      <c r="A20" s="406" t="str">
        <f aca="false">Projects!$A$11</f>
        <v>Klump</v>
      </c>
      <c r="B20" s="398"/>
      <c r="C20" s="407" t="str">
        <f aca="false">Projects!$F$11</f>
        <v>No</v>
      </c>
      <c r="D20" s="407" t="str">
        <f aca="false">Projects!$G$11</f>
        <v>Yes</v>
      </c>
      <c r="E20" s="400"/>
      <c r="F20" s="408" t="n">
        <f aca="false">IF($E20&lt;&gt;"",$E20,Projects!$B$11)</f>
        <v>9577109</v>
      </c>
      <c r="G20" s="398"/>
      <c r="H20" s="409" t="n">
        <f aca="false">IF($G20&lt;&gt;"",$G20,Projects!$C$11)</f>
        <v>11</v>
      </c>
      <c r="I20" s="403"/>
      <c r="J20" s="400"/>
      <c r="K20" s="398"/>
      <c r="L20" s="400"/>
      <c r="M20" s="398"/>
      <c r="N20" s="403"/>
      <c r="O20" s="400"/>
      <c r="P20" s="398"/>
      <c r="Q20" s="400"/>
      <c r="R20" s="398"/>
      <c r="S20" s="409" t="n">
        <f aca="false">IF(AND($C20="Yes",$D20="Yes"),1,0)</f>
        <v>0</v>
      </c>
      <c r="T20" s="408" t="n">
        <f aca="false">$S20*IF($J20&lt;&gt;"",$J20,$F20*IF($I20&lt;&gt;"",$I20,$C$4)/(1+IF($I20&lt;&gt;"",$I20,$C$4)))</f>
        <v>0</v>
      </c>
      <c r="U20" s="408" t="n">
        <f aca="false">$S20*IF($L20&lt;&gt;"",$L20,$F20*$C$5)</f>
        <v>0</v>
      </c>
      <c r="V20" s="408" t="n">
        <f aca="false">$S20*$F20*IF($N20&lt;&gt;"",$N20,$C$6)</f>
        <v>0</v>
      </c>
      <c r="W20" s="408" t="n">
        <f aca="false">MAX(0,$V20-$U20)</f>
        <v>0</v>
      </c>
      <c r="X20" s="409" t="n">
        <f aca="false">IF($B20&lt;&gt;"",$B20,100+$H20)</f>
        <v>111</v>
      </c>
      <c r="Y20" s="408" t="n">
        <f aca="false">$S20*MAX(0,MIN($W20,$C$7-SUMIFS($W$11:$W$54,$X$11:$X$54,"&lt;"&amp;$X20)))</f>
        <v>0</v>
      </c>
      <c r="Z20" s="408" t="n">
        <f aca="false">$W20-$Y20</f>
        <v>0</v>
      </c>
      <c r="AA20" s="410" t="n">
        <f aca="false">$S20*($T20-$U20-$Z20)</f>
        <v>0</v>
      </c>
      <c r="AB20" s="410" t="n">
        <f aca="false">$S20*($T20-$U20)</f>
        <v>0</v>
      </c>
      <c r="AC20" s="408" t="n">
        <f aca="false">IF(AND($S20=1,$H20&lt;=$C$8),$Z20-N($O20),0)</f>
        <v>0</v>
      </c>
      <c r="AD20" s="411"/>
    </row>
    <row r="21" customFormat="false" ht="15" hidden="false" customHeight="true" outlineLevel="0" collapsed="false">
      <c r="A21" s="397" t="str">
        <f aca="false">Projects!$A$12</f>
        <v>Scott</v>
      </c>
      <c r="B21" s="398"/>
      <c r="C21" s="399" t="str">
        <f aca="false">Projects!$F$12</f>
        <v>No</v>
      </c>
      <c r="D21" s="399" t="str">
        <f aca="false">Projects!$G$12</f>
        <v>Yes</v>
      </c>
      <c r="E21" s="400"/>
      <c r="F21" s="401" t="n">
        <f aca="false">IF($E21&lt;&gt;"",$E21,Projects!$B$12)</f>
        <v>7545203</v>
      </c>
      <c r="G21" s="398"/>
      <c r="H21" s="402" t="n">
        <f aca="false">IF($G21&lt;&gt;"",$G21,Projects!$C$12)</f>
        <v>10</v>
      </c>
      <c r="I21" s="403"/>
      <c r="J21" s="400"/>
      <c r="K21" s="398"/>
      <c r="L21" s="400"/>
      <c r="M21" s="398"/>
      <c r="N21" s="403"/>
      <c r="O21" s="400"/>
      <c r="P21" s="398"/>
      <c r="Q21" s="400"/>
      <c r="R21" s="398"/>
      <c r="S21" s="402" t="n">
        <f aca="false">IF(AND($C21="Yes",$D21="Yes"),1,0)</f>
        <v>0</v>
      </c>
      <c r="T21" s="401" t="n">
        <f aca="false">$S21*IF($J21&lt;&gt;"",$J21,$F21*IF($I21&lt;&gt;"",$I21,$C$4)/(1+IF($I21&lt;&gt;"",$I21,$C$4)))</f>
        <v>0</v>
      </c>
      <c r="U21" s="401" t="n">
        <f aca="false">$S21*IF($L21&lt;&gt;"",$L21,$F21*$C$5)</f>
        <v>0</v>
      </c>
      <c r="V21" s="401" t="n">
        <f aca="false">$S21*$F21*IF($N21&lt;&gt;"",$N21,$C$6)</f>
        <v>0</v>
      </c>
      <c r="W21" s="401" t="n">
        <f aca="false">MAX(0,$V21-$U21)</f>
        <v>0</v>
      </c>
      <c r="X21" s="402" t="n">
        <f aca="false">IF($B21&lt;&gt;"",$B21,100+$H21)</f>
        <v>110</v>
      </c>
      <c r="Y21" s="401" t="n">
        <f aca="false">$S21*MAX(0,MIN($W21,$C$7-SUMIFS($W$11:$W$54,$X$11:$X$54,"&lt;"&amp;$X21)))</f>
        <v>0</v>
      </c>
      <c r="Z21" s="401" t="n">
        <f aca="false">$W21-$Y21</f>
        <v>0</v>
      </c>
      <c r="AA21" s="404" t="n">
        <f aca="false">$S21*($T21-$U21-$Z21)</f>
        <v>0</v>
      </c>
      <c r="AB21" s="404" t="n">
        <f aca="false">$S21*($T21-$U21)</f>
        <v>0</v>
      </c>
      <c r="AC21" s="401" t="n">
        <f aca="false">IF(AND($S21=1,$H21&lt;=$C$8),$Z21-N($O21),0)</f>
        <v>0</v>
      </c>
      <c r="AD21" s="405"/>
    </row>
    <row r="22" customFormat="false" ht="15" hidden="false" customHeight="true" outlineLevel="0" collapsed="false">
      <c r="A22" s="406" t="str">
        <f aca="false">Projects!$A$13</f>
        <v>Reseda</v>
      </c>
      <c r="B22" s="398"/>
      <c r="C22" s="407" t="str">
        <f aca="false">Projects!$F$13</f>
        <v>Yes</v>
      </c>
      <c r="D22" s="407" t="str">
        <f aca="false">Projects!$G$13</f>
        <v>No</v>
      </c>
      <c r="E22" s="400"/>
      <c r="F22" s="408" t="n">
        <f aca="false">IF($E22&lt;&gt;"",$E22,Projects!$B$13)</f>
        <v>45266770</v>
      </c>
      <c r="G22" s="398"/>
      <c r="H22" s="409" t="n">
        <f aca="false">IF($G22&lt;&gt;"",$G22,Projects!$C$13)</f>
        <v>13</v>
      </c>
      <c r="I22" s="403"/>
      <c r="J22" s="400"/>
      <c r="K22" s="398"/>
      <c r="L22" s="400"/>
      <c r="M22" s="398"/>
      <c r="N22" s="403"/>
      <c r="O22" s="400"/>
      <c r="P22" s="398"/>
      <c r="Q22" s="400"/>
      <c r="R22" s="398"/>
      <c r="S22" s="409" t="n">
        <f aca="false">IF(AND($C22="Yes",$D22="Yes"),1,0)</f>
        <v>0</v>
      </c>
      <c r="T22" s="408" t="n">
        <f aca="false">$S22*IF($J22&lt;&gt;"",$J22,$F22*IF($I22&lt;&gt;"",$I22,$C$4)/(1+IF($I22&lt;&gt;"",$I22,$C$4)))</f>
        <v>0</v>
      </c>
      <c r="U22" s="408" t="n">
        <f aca="false">$S22*IF($L22&lt;&gt;"",$L22,$F22*$C$5)</f>
        <v>0</v>
      </c>
      <c r="V22" s="408" t="n">
        <f aca="false">$S22*$F22*IF($N22&lt;&gt;"",$N22,$C$6)</f>
        <v>0</v>
      </c>
      <c r="W22" s="408" t="n">
        <f aca="false">MAX(0,$V22-$U22)</f>
        <v>0</v>
      </c>
      <c r="X22" s="409" t="n">
        <f aca="false">IF($B22&lt;&gt;"",$B22,100+$H22)</f>
        <v>113</v>
      </c>
      <c r="Y22" s="408" t="n">
        <f aca="false">$S22*MAX(0,MIN($W22,$C$7-SUMIFS($W$11:$W$54,$X$11:$X$54,"&lt;"&amp;$X22)))</f>
        <v>0</v>
      </c>
      <c r="Z22" s="408" t="n">
        <f aca="false">$W22-$Y22</f>
        <v>0</v>
      </c>
      <c r="AA22" s="410" t="n">
        <f aca="false">$S22*($T22-$U22-$Z22)</f>
        <v>0</v>
      </c>
      <c r="AB22" s="410" t="n">
        <f aca="false">$S22*($T22-$U22)</f>
        <v>0</v>
      </c>
      <c r="AC22" s="408" t="n">
        <f aca="false">IF(AND($S22=1,$H22&lt;=$C$8),$Z22-N($O22),0)</f>
        <v>0</v>
      </c>
      <c r="AD22" s="411"/>
    </row>
    <row r="23" customFormat="false" ht="15" hidden="false" customHeight="true" outlineLevel="0" collapsed="false">
      <c r="A23" s="397" t="str">
        <f aca="false">Projects!$A$14</f>
        <v>3rd St</v>
      </c>
      <c r="B23" s="398"/>
      <c r="C23" s="399" t="str">
        <f aca="false">Projects!$F$14</f>
        <v>Yes</v>
      </c>
      <c r="D23" s="399" t="str">
        <f aca="false">Projects!$G$14</f>
        <v>No</v>
      </c>
      <c r="E23" s="400"/>
      <c r="F23" s="401" t="n">
        <f aca="false">IF($E23&lt;&gt;"",$E23,Projects!$B$14)</f>
        <v>41354632</v>
      </c>
      <c r="G23" s="398"/>
      <c r="H23" s="402" t="n">
        <f aca="false">IF($G23&lt;&gt;"",$G23,Projects!$C$14)</f>
        <v>27</v>
      </c>
      <c r="I23" s="403"/>
      <c r="J23" s="400"/>
      <c r="K23" s="398"/>
      <c r="L23" s="400"/>
      <c r="M23" s="398"/>
      <c r="N23" s="403"/>
      <c r="O23" s="400"/>
      <c r="P23" s="398"/>
      <c r="Q23" s="400"/>
      <c r="R23" s="398"/>
      <c r="S23" s="402" t="n">
        <f aca="false">IF(AND($C23="Yes",$D23="Yes"),1,0)</f>
        <v>0</v>
      </c>
      <c r="T23" s="401" t="n">
        <f aca="false">$S23*IF($J23&lt;&gt;"",$J23,$F23*IF($I23&lt;&gt;"",$I23,$C$4)/(1+IF($I23&lt;&gt;"",$I23,$C$4)))</f>
        <v>0</v>
      </c>
      <c r="U23" s="401" t="n">
        <f aca="false">$S23*IF($L23&lt;&gt;"",$L23,$F23*$C$5)</f>
        <v>0</v>
      </c>
      <c r="V23" s="401" t="n">
        <f aca="false">$S23*$F23*IF($N23&lt;&gt;"",$N23,$C$6)</f>
        <v>0</v>
      </c>
      <c r="W23" s="401" t="n">
        <f aca="false">MAX(0,$V23-$U23)</f>
        <v>0</v>
      </c>
      <c r="X23" s="402" t="n">
        <f aca="false">IF($B23&lt;&gt;"",$B23,100+$H23)</f>
        <v>127</v>
      </c>
      <c r="Y23" s="401" t="n">
        <f aca="false">$S23*MAX(0,MIN($W23,$C$7-SUMIFS($W$11:$W$54,$X$11:$X$54,"&lt;"&amp;$X23)))</f>
        <v>0</v>
      </c>
      <c r="Z23" s="401" t="n">
        <f aca="false">$W23-$Y23</f>
        <v>0</v>
      </c>
      <c r="AA23" s="404" t="n">
        <f aca="false">$S23*($T23-$U23-$Z23)</f>
        <v>0</v>
      </c>
      <c r="AB23" s="404" t="n">
        <f aca="false">$S23*($T23-$U23)</f>
        <v>0</v>
      </c>
      <c r="AC23" s="401" t="n">
        <f aca="false">IF(AND($S23=1,$H23&lt;=$C$8),$Z23-N($O23),0)</f>
        <v>0</v>
      </c>
      <c r="AD23" s="405"/>
    </row>
    <row r="24" customFormat="false" ht="15" hidden="false" customHeight="true" outlineLevel="0" collapsed="false">
      <c r="A24" s="406" t="str">
        <f aca="false">Projects!$A$17</f>
        <v>Dickens</v>
      </c>
      <c r="B24" s="398"/>
      <c r="C24" s="407" t="str">
        <f aca="false">Projects!$F$17</f>
        <v>Yes</v>
      </c>
      <c r="D24" s="407" t="str">
        <f aca="false">Projects!$G$17</f>
        <v>No</v>
      </c>
      <c r="E24" s="400"/>
      <c r="F24" s="408" t="n">
        <f aca="false">IF($E24&lt;&gt;"",$E24,Projects!$B$17)</f>
        <v>15316015</v>
      </c>
      <c r="G24" s="398"/>
      <c r="H24" s="409" t="n">
        <f aca="false">IF($G24&lt;&gt;"",$G24,Projects!$C$17)</f>
        <v>14</v>
      </c>
      <c r="I24" s="403"/>
      <c r="J24" s="400"/>
      <c r="K24" s="398"/>
      <c r="L24" s="400"/>
      <c r="M24" s="398"/>
      <c r="N24" s="403"/>
      <c r="O24" s="400"/>
      <c r="P24" s="398"/>
      <c r="Q24" s="400"/>
      <c r="R24" s="398"/>
      <c r="S24" s="409" t="n">
        <f aca="false">IF(AND($C24="Yes",$D24="Yes"),1,0)</f>
        <v>0</v>
      </c>
      <c r="T24" s="408" t="n">
        <f aca="false">$S24*IF($J24&lt;&gt;"",$J24,$F24*IF($I24&lt;&gt;"",$I24,$C$4)/(1+IF($I24&lt;&gt;"",$I24,$C$4)))</f>
        <v>0</v>
      </c>
      <c r="U24" s="408" t="n">
        <f aca="false">$S24*IF($L24&lt;&gt;"",$L24,$F24*$C$5)</f>
        <v>0</v>
      </c>
      <c r="V24" s="408" t="n">
        <f aca="false">$S24*$F24*IF($N24&lt;&gt;"",$N24,$C$6)</f>
        <v>0</v>
      </c>
      <c r="W24" s="408" t="n">
        <f aca="false">MAX(0,$V24-$U24)</f>
        <v>0</v>
      </c>
      <c r="X24" s="409" t="n">
        <f aca="false">IF($B24&lt;&gt;"",$B24,100+$H24)</f>
        <v>114</v>
      </c>
      <c r="Y24" s="408" t="n">
        <f aca="false">$S24*MAX(0,MIN($W24,$C$7-SUMIFS($W$11:$W$54,$X$11:$X$54,"&lt;"&amp;$X24)))</f>
        <v>0</v>
      </c>
      <c r="Z24" s="408" t="n">
        <f aca="false">$W24-$Y24</f>
        <v>0</v>
      </c>
      <c r="AA24" s="410" t="n">
        <f aca="false">$S24*($T24-$U24-$Z24)</f>
        <v>0</v>
      </c>
      <c r="AB24" s="410" t="n">
        <f aca="false">$S24*($T24-$U24)</f>
        <v>0</v>
      </c>
      <c r="AC24" s="408" t="n">
        <f aca="false">IF(AND($S24=1,$H24&lt;=$C$8),$Z24-N($O24),0)</f>
        <v>0</v>
      </c>
      <c r="AD24" s="411"/>
    </row>
    <row r="25" customFormat="false" ht="15" hidden="false" customHeight="true" outlineLevel="0" collapsed="false">
      <c r="A25" s="397" t="str">
        <f aca="false">Projects!$A$18</f>
        <v>Riverton 75</v>
      </c>
      <c r="B25" s="398"/>
      <c r="C25" s="399" t="str">
        <f aca="false">Projects!$F$18</f>
        <v>Yes</v>
      </c>
      <c r="D25" s="399" t="str">
        <f aca="false">Projects!$G$18</f>
        <v>No</v>
      </c>
      <c r="E25" s="400"/>
      <c r="F25" s="401" t="n">
        <f aca="false">IF($E25&lt;&gt;"",$E25,Projects!$B$18)</f>
        <v>11317385</v>
      </c>
      <c r="G25" s="398"/>
      <c r="H25" s="402" t="n">
        <f aca="false">IF($G25&lt;&gt;"",$G25,Projects!$C$18)</f>
        <v>15</v>
      </c>
      <c r="I25" s="403"/>
      <c r="J25" s="400"/>
      <c r="K25" s="398"/>
      <c r="L25" s="400"/>
      <c r="M25" s="398"/>
      <c r="N25" s="403"/>
      <c r="O25" s="400"/>
      <c r="P25" s="398"/>
      <c r="Q25" s="400"/>
      <c r="R25" s="398"/>
      <c r="S25" s="402" t="n">
        <f aca="false">IF(AND($C25="Yes",$D25="Yes"),1,0)</f>
        <v>0</v>
      </c>
      <c r="T25" s="401" t="n">
        <f aca="false">$S25*IF($J25&lt;&gt;"",$J25,$F25*IF($I25&lt;&gt;"",$I25,$C$4)/(1+IF($I25&lt;&gt;"",$I25,$C$4)))</f>
        <v>0</v>
      </c>
      <c r="U25" s="401" t="n">
        <f aca="false">$S25*IF($L25&lt;&gt;"",$L25,$F25*$C$5)</f>
        <v>0</v>
      </c>
      <c r="V25" s="401" t="n">
        <f aca="false">$S25*$F25*IF($N25&lt;&gt;"",$N25,$C$6)</f>
        <v>0</v>
      </c>
      <c r="W25" s="401" t="n">
        <f aca="false">MAX(0,$V25-$U25)</f>
        <v>0</v>
      </c>
      <c r="X25" s="402" t="n">
        <f aca="false">IF($B25&lt;&gt;"",$B25,100+$H25)</f>
        <v>115</v>
      </c>
      <c r="Y25" s="401" t="n">
        <f aca="false">$S25*MAX(0,MIN($W25,$C$7-SUMIFS($W$11:$W$54,$X$11:$X$54,"&lt;"&amp;$X25)))</f>
        <v>0</v>
      </c>
      <c r="Z25" s="401" t="n">
        <f aca="false">$W25-$Y25</f>
        <v>0</v>
      </c>
      <c r="AA25" s="404" t="n">
        <f aca="false">$S25*($T25-$U25-$Z25)</f>
        <v>0</v>
      </c>
      <c r="AB25" s="404" t="n">
        <f aca="false">$S25*($T25-$U25)</f>
        <v>0</v>
      </c>
      <c r="AC25" s="401" t="n">
        <f aca="false">IF(AND($S25=1,$H25&lt;=$C$8),$Z25-N($O25),0)</f>
        <v>0</v>
      </c>
      <c r="AD25" s="405"/>
    </row>
    <row r="26" customFormat="false" ht="15" hidden="false" customHeight="true" outlineLevel="0" collapsed="false">
      <c r="A26" s="406" t="str">
        <f aca="false">Projects!$A$19</f>
        <v>Moorpark</v>
      </c>
      <c r="B26" s="398"/>
      <c r="C26" s="407" t="str">
        <f aca="false">Projects!$F$19</f>
        <v>Yes</v>
      </c>
      <c r="D26" s="407" t="str">
        <f aca="false">Projects!$G$19</f>
        <v>No</v>
      </c>
      <c r="E26" s="400"/>
      <c r="F26" s="408" t="n">
        <f aca="false">IF($E26&lt;&gt;"",$E26,Projects!$B$19)</f>
        <v>18442769</v>
      </c>
      <c r="G26" s="398"/>
      <c r="H26" s="409" t="n">
        <f aca="false">IF($G26&lt;&gt;"",$G26,Projects!$C$19)</f>
        <v>16</v>
      </c>
      <c r="I26" s="403"/>
      <c r="J26" s="400"/>
      <c r="K26" s="398"/>
      <c r="L26" s="400"/>
      <c r="M26" s="398"/>
      <c r="N26" s="403"/>
      <c r="O26" s="400"/>
      <c r="P26" s="398"/>
      <c r="Q26" s="400"/>
      <c r="R26" s="398"/>
      <c r="S26" s="409" t="n">
        <f aca="false">IF(AND($C26="Yes",$D26="Yes"),1,0)</f>
        <v>0</v>
      </c>
      <c r="T26" s="408" t="n">
        <f aca="false">$S26*IF($J26&lt;&gt;"",$J26,$F26*IF($I26&lt;&gt;"",$I26,$C$4)/(1+IF($I26&lt;&gt;"",$I26,$C$4)))</f>
        <v>0</v>
      </c>
      <c r="U26" s="408" t="n">
        <f aca="false">$S26*IF($L26&lt;&gt;"",$L26,$F26*$C$5)</f>
        <v>0</v>
      </c>
      <c r="V26" s="408" t="n">
        <f aca="false">$S26*$F26*IF($N26&lt;&gt;"",$N26,$C$6)</f>
        <v>0</v>
      </c>
      <c r="W26" s="408" t="n">
        <f aca="false">MAX(0,$V26-$U26)</f>
        <v>0</v>
      </c>
      <c r="X26" s="409" t="n">
        <f aca="false">IF($B26&lt;&gt;"",$B26,100+$H26)</f>
        <v>116</v>
      </c>
      <c r="Y26" s="408" t="n">
        <f aca="false">$S26*MAX(0,MIN($W26,$C$7-SUMIFS($W$11:$W$54,$X$11:$X$54,"&lt;"&amp;$X26)))</f>
        <v>0</v>
      </c>
      <c r="Z26" s="408" t="n">
        <f aca="false">$W26-$Y26</f>
        <v>0</v>
      </c>
      <c r="AA26" s="410" t="n">
        <f aca="false">$S26*($T26-$U26-$Z26)</f>
        <v>0</v>
      </c>
      <c r="AB26" s="410" t="n">
        <f aca="false">$S26*($T26-$U26)</f>
        <v>0</v>
      </c>
      <c r="AC26" s="408" t="n">
        <f aca="false">IF(AND($S26=1,$H26&lt;=$C$8),$Z26-N($O26),0)</f>
        <v>0</v>
      </c>
      <c r="AD26" s="411"/>
    </row>
    <row r="27" customFormat="false" ht="15" hidden="false" customHeight="true" outlineLevel="0" collapsed="false">
      <c r="A27" s="397" t="str">
        <f aca="false">Projects!$A$20</f>
        <v>Beverly (BD-04)</v>
      </c>
      <c r="B27" s="398"/>
      <c r="C27" s="399" t="str">
        <f aca="false">Projects!$F$20</f>
        <v>No</v>
      </c>
      <c r="D27" s="399" t="str">
        <f aca="false">Projects!$G$20</f>
        <v>No</v>
      </c>
      <c r="E27" s="400"/>
      <c r="F27" s="401" t="n">
        <f aca="false">IF($E27&lt;&gt;"",$E27,Projects!$B$20)</f>
        <v>25026330.58</v>
      </c>
      <c r="G27" s="398"/>
      <c r="H27" s="402" t="n">
        <f aca="false">IF($G27&lt;&gt;"",$G27,Projects!$C$20)</f>
        <v>20</v>
      </c>
      <c r="I27" s="403"/>
      <c r="J27" s="400"/>
      <c r="K27" s="398"/>
      <c r="L27" s="400"/>
      <c r="M27" s="398"/>
      <c r="N27" s="403"/>
      <c r="O27" s="400"/>
      <c r="P27" s="398"/>
      <c r="Q27" s="400"/>
      <c r="R27" s="398"/>
      <c r="S27" s="402" t="n">
        <f aca="false">IF(AND($C27="Yes",$D27="Yes"),1,0)</f>
        <v>0</v>
      </c>
      <c r="T27" s="401" t="n">
        <f aca="false">$S27*IF($J27&lt;&gt;"",$J27,$F27*IF($I27&lt;&gt;"",$I27,$C$4)/(1+IF($I27&lt;&gt;"",$I27,$C$4)))</f>
        <v>0</v>
      </c>
      <c r="U27" s="401" t="n">
        <f aca="false">$S27*IF($L27&lt;&gt;"",$L27,$F27*$C$5)</f>
        <v>0</v>
      </c>
      <c r="V27" s="401" t="n">
        <f aca="false">$S27*$F27*IF($N27&lt;&gt;"",$N27,$C$6)</f>
        <v>0</v>
      </c>
      <c r="W27" s="401" t="n">
        <f aca="false">MAX(0,$V27-$U27)</f>
        <v>0</v>
      </c>
      <c r="X27" s="402" t="n">
        <f aca="false">IF($B27&lt;&gt;"",$B27,100+$H27)</f>
        <v>120</v>
      </c>
      <c r="Y27" s="401" t="n">
        <f aca="false">$S27*MAX(0,MIN($W27,$C$7-SUMIFS($W$11:$W$54,$X$11:$X$54,"&lt;"&amp;$X27)))</f>
        <v>0</v>
      </c>
      <c r="Z27" s="401" t="n">
        <f aca="false">$W27-$Y27</f>
        <v>0</v>
      </c>
      <c r="AA27" s="404" t="n">
        <f aca="false">$S27*($T27-$U27-$Z27)</f>
        <v>0</v>
      </c>
      <c r="AB27" s="404" t="n">
        <f aca="false">$S27*($T27-$U27)</f>
        <v>0</v>
      </c>
      <c r="AC27" s="401" t="n">
        <f aca="false">IF(AND($S27=1,$H27&lt;=$C$8),$Z27-N($O27),0)</f>
        <v>0</v>
      </c>
      <c r="AD27" s="405"/>
    </row>
    <row r="28" customFormat="false" ht="15" hidden="false" customHeight="true" outlineLevel="0" collapsed="false">
      <c r="A28" s="406" t="str">
        <f aca="false">Projects!$A$21</f>
        <v>Troost (HVN)</v>
      </c>
      <c r="B28" s="398"/>
      <c r="C28" s="407" t="str">
        <f aca="false">Projects!$F$21</f>
        <v>No</v>
      </c>
      <c r="D28" s="407" t="str">
        <f aca="false">Projects!$G$21</f>
        <v>Yes</v>
      </c>
      <c r="E28" s="400"/>
      <c r="F28" s="408" t="n">
        <f aca="false">IF($E28&lt;&gt;"",$E28,Projects!$B$21)</f>
        <v>15189508.75</v>
      </c>
      <c r="G28" s="398"/>
      <c r="H28" s="409" t="n">
        <f aca="false">IF($G28&lt;&gt;"",$G28,Projects!$C$21)</f>
        <v>10</v>
      </c>
      <c r="I28" s="403"/>
      <c r="J28" s="400"/>
      <c r="K28" s="398"/>
      <c r="L28" s="400"/>
      <c r="M28" s="398"/>
      <c r="N28" s="403"/>
      <c r="O28" s="400"/>
      <c r="P28" s="398"/>
      <c r="Q28" s="400"/>
      <c r="R28" s="398"/>
      <c r="S28" s="409" t="n">
        <f aca="false">IF(AND($C28="Yes",$D28="Yes"),1,0)</f>
        <v>0</v>
      </c>
      <c r="T28" s="408" t="n">
        <f aca="false">$S28*IF($J28&lt;&gt;"",$J28,$F28*IF($I28&lt;&gt;"",$I28,$C$4)/(1+IF($I28&lt;&gt;"",$I28,$C$4)))</f>
        <v>0</v>
      </c>
      <c r="U28" s="408" t="n">
        <f aca="false">$S28*IF($L28&lt;&gt;"",$L28,$F28*$C$5)</f>
        <v>0</v>
      </c>
      <c r="V28" s="408" t="n">
        <f aca="false">$S28*$F28*IF($N28&lt;&gt;"",$N28,$C$6)</f>
        <v>0</v>
      </c>
      <c r="W28" s="408" t="n">
        <f aca="false">MAX(0,$V28-$U28)</f>
        <v>0</v>
      </c>
      <c r="X28" s="409" t="n">
        <f aca="false">IF($B28&lt;&gt;"",$B28,100+$H28)</f>
        <v>110</v>
      </c>
      <c r="Y28" s="408" t="n">
        <f aca="false">$S28*MAX(0,MIN($W28,$C$7-SUMIFS($W$11:$W$54,$X$11:$X$54,"&lt;"&amp;$X28)))</f>
        <v>0</v>
      </c>
      <c r="Z28" s="408" t="n">
        <f aca="false">$W28-$Y28</f>
        <v>0</v>
      </c>
      <c r="AA28" s="410" t="n">
        <f aca="false">$S28*($T28-$U28-$Z28)</f>
        <v>0</v>
      </c>
      <c r="AB28" s="410" t="n">
        <f aca="false">$S28*($T28-$U28)</f>
        <v>0</v>
      </c>
      <c r="AC28" s="408" t="n">
        <f aca="false">IF(AND($S28=1,$H28&lt;=$C$8),$Z28-N($O28),0)</f>
        <v>0</v>
      </c>
      <c r="AD28" s="411"/>
    </row>
    <row r="29" customFormat="false" ht="15" hidden="false" customHeight="true" outlineLevel="0" collapsed="false">
      <c r="A29" s="397" t="str">
        <f aca="false">Projects!$A$22</f>
        <v>BD-06</v>
      </c>
      <c r="B29" s="398"/>
      <c r="C29" s="399" t="str">
        <f aca="false">Projects!$F$22</f>
        <v>No</v>
      </c>
      <c r="D29" s="399" t="str">
        <f aca="false">Projects!$G$22</f>
        <v>No</v>
      </c>
      <c r="E29" s="400"/>
      <c r="F29" s="401" t="n">
        <f aca="false">IF($E29&lt;&gt;"",$E29,Projects!$B$22)</f>
        <v>15000000</v>
      </c>
      <c r="G29" s="398"/>
      <c r="H29" s="402" t="n">
        <f aca="false">IF($G29&lt;&gt;"",$G29,Projects!$C$22)</f>
        <v>31</v>
      </c>
      <c r="I29" s="403"/>
      <c r="J29" s="400"/>
      <c r="K29" s="398"/>
      <c r="L29" s="400"/>
      <c r="M29" s="398"/>
      <c r="N29" s="403"/>
      <c r="O29" s="400"/>
      <c r="P29" s="398"/>
      <c r="Q29" s="400"/>
      <c r="R29" s="398"/>
      <c r="S29" s="402" t="n">
        <f aca="false">IF(AND($C29="Yes",$D29="Yes"),1,0)</f>
        <v>0</v>
      </c>
      <c r="T29" s="401" t="n">
        <f aca="false">$S29*IF($J29&lt;&gt;"",$J29,$F29*IF($I29&lt;&gt;"",$I29,$C$4)/(1+IF($I29&lt;&gt;"",$I29,$C$4)))</f>
        <v>0</v>
      </c>
      <c r="U29" s="401" t="n">
        <f aca="false">$S29*IF($L29&lt;&gt;"",$L29,$F29*$C$5)</f>
        <v>0</v>
      </c>
      <c r="V29" s="401" t="n">
        <f aca="false">$S29*$F29*IF($N29&lt;&gt;"",$N29,$C$6)</f>
        <v>0</v>
      </c>
      <c r="W29" s="401" t="n">
        <f aca="false">MAX(0,$V29-$U29)</f>
        <v>0</v>
      </c>
      <c r="X29" s="402" t="n">
        <f aca="false">IF($B29&lt;&gt;"",$B29,100+$H29)</f>
        <v>131</v>
      </c>
      <c r="Y29" s="401" t="n">
        <f aca="false">$S29*MAX(0,MIN($W29,$C$7-SUMIFS($W$11:$W$54,$X$11:$X$54,"&lt;"&amp;$X29)))</f>
        <v>0</v>
      </c>
      <c r="Z29" s="401" t="n">
        <f aca="false">$W29-$Y29</f>
        <v>0</v>
      </c>
      <c r="AA29" s="404" t="n">
        <f aca="false">$S29*($T29-$U29-$Z29)</f>
        <v>0</v>
      </c>
      <c r="AB29" s="404" t="n">
        <f aca="false">$S29*($T29-$U29)</f>
        <v>0</v>
      </c>
      <c r="AC29" s="401" t="n">
        <f aca="false">IF(AND($S29=1,$H29&lt;=$C$8),$Z29-N($O29),0)</f>
        <v>0</v>
      </c>
      <c r="AD29" s="405"/>
    </row>
    <row r="30" customFormat="false" ht="15" hidden="false" customHeight="true" outlineLevel="0" collapsed="false">
      <c r="A30" s="406" t="str">
        <f aca="false">Projects!$A$23</f>
        <v>BD-07</v>
      </c>
      <c r="B30" s="398"/>
      <c r="C30" s="407" t="str">
        <f aca="false">Projects!$F$23</f>
        <v>Yes</v>
      </c>
      <c r="D30" s="407" t="str">
        <f aca="false">Projects!$G$23</f>
        <v>No</v>
      </c>
      <c r="E30" s="400"/>
      <c r="F30" s="408" t="n">
        <f aca="false">IF($E30&lt;&gt;"",$E30,Projects!$B$23)</f>
        <v>15000000</v>
      </c>
      <c r="G30" s="398"/>
      <c r="H30" s="409" t="n">
        <f aca="false">IF($G30&lt;&gt;"",$G30,Projects!$C$23)</f>
        <v>34</v>
      </c>
      <c r="I30" s="403"/>
      <c r="J30" s="400"/>
      <c r="K30" s="398"/>
      <c r="L30" s="400"/>
      <c r="M30" s="398"/>
      <c r="N30" s="403"/>
      <c r="O30" s="400"/>
      <c r="P30" s="398"/>
      <c r="Q30" s="400"/>
      <c r="R30" s="398"/>
      <c r="S30" s="409" t="n">
        <f aca="false">IF(AND($C30="Yes",$D30="Yes"),1,0)</f>
        <v>0</v>
      </c>
      <c r="T30" s="408" t="n">
        <f aca="false">$S30*IF($J30&lt;&gt;"",$J30,$F30*IF($I30&lt;&gt;"",$I30,$C$4)/(1+IF($I30&lt;&gt;"",$I30,$C$4)))</f>
        <v>0</v>
      </c>
      <c r="U30" s="408" t="n">
        <f aca="false">$S30*IF($L30&lt;&gt;"",$L30,$F30*$C$5)</f>
        <v>0</v>
      </c>
      <c r="V30" s="408" t="n">
        <f aca="false">$S30*$F30*IF($N30&lt;&gt;"",$N30,$C$6)</f>
        <v>0</v>
      </c>
      <c r="W30" s="408" t="n">
        <f aca="false">MAX(0,$V30-$U30)</f>
        <v>0</v>
      </c>
      <c r="X30" s="409" t="n">
        <f aca="false">IF($B30&lt;&gt;"",$B30,100+$H30)</f>
        <v>134</v>
      </c>
      <c r="Y30" s="408" t="n">
        <f aca="false">$S30*MAX(0,MIN($W30,$C$7-SUMIFS($W$11:$W$54,$X$11:$X$54,"&lt;"&amp;$X30)))</f>
        <v>0</v>
      </c>
      <c r="Z30" s="408" t="n">
        <f aca="false">$W30-$Y30</f>
        <v>0</v>
      </c>
      <c r="AA30" s="410" t="n">
        <f aca="false">$S30*($T30-$U30-$Z30)</f>
        <v>0</v>
      </c>
      <c r="AB30" s="410" t="n">
        <f aca="false">$S30*($T30-$U30)</f>
        <v>0</v>
      </c>
      <c r="AC30" s="408" t="n">
        <f aca="false">IF(AND($S30=1,$H30&lt;=$C$8),$Z30-N($O30),0)</f>
        <v>0</v>
      </c>
      <c r="AD30" s="411"/>
    </row>
    <row r="31" customFormat="false" ht="15" hidden="false" customHeight="true" outlineLevel="0" collapsed="false">
      <c r="A31" s="397" t="str">
        <f aca="false">Projects!$A$24</f>
        <v>BD-08</v>
      </c>
      <c r="B31" s="398"/>
      <c r="C31" s="399" t="str">
        <f aca="false">Projects!$F$24</f>
        <v>No</v>
      </c>
      <c r="D31" s="399" t="str">
        <f aca="false">Projects!$G$24</f>
        <v>No</v>
      </c>
      <c r="E31" s="400"/>
      <c r="F31" s="401" t="n">
        <f aca="false">IF($E31&lt;&gt;"",$E31,Projects!$B$24)</f>
        <v>18000000</v>
      </c>
      <c r="G31" s="398"/>
      <c r="H31" s="402" t="n">
        <f aca="false">IF($G31&lt;&gt;"",$G31,Projects!$C$24)</f>
        <v>37</v>
      </c>
      <c r="I31" s="403"/>
      <c r="J31" s="400"/>
      <c r="K31" s="398"/>
      <c r="L31" s="400"/>
      <c r="M31" s="398"/>
      <c r="N31" s="403"/>
      <c r="O31" s="400"/>
      <c r="P31" s="398"/>
      <c r="Q31" s="400"/>
      <c r="R31" s="398"/>
      <c r="S31" s="402" t="n">
        <f aca="false">IF(AND($C31="Yes",$D31="Yes"),1,0)</f>
        <v>0</v>
      </c>
      <c r="T31" s="401" t="n">
        <f aca="false">$S31*IF($J31&lt;&gt;"",$J31,$F31*IF($I31&lt;&gt;"",$I31,$C$4)/(1+IF($I31&lt;&gt;"",$I31,$C$4)))</f>
        <v>0</v>
      </c>
      <c r="U31" s="401" t="n">
        <f aca="false">$S31*IF($L31&lt;&gt;"",$L31,$F31*$C$5)</f>
        <v>0</v>
      </c>
      <c r="V31" s="401" t="n">
        <f aca="false">$S31*$F31*IF($N31&lt;&gt;"",$N31,$C$6)</f>
        <v>0</v>
      </c>
      <c r="W31" s="401" t="n">
        <f aca="false">MAX(0,$V31-$U31)</f>
        <v>0</v>
      </c>
      <c r="X31" s="402" t="n">
        <f aca="false">IF($B31&lt;&gt;"",$B31,100+$H31)</f>
        <v>137</v>
      </c>
      <c r="Y31" s="401" t="n">
        <f aca="false">$S31*MAX(0,MIN($W31,$C$7-SUMIFS($W$11:$W$54,$X$11:$X$54,"&lt;"&amp;$X31)))</f>
        <v>0</v>
      </c>
      <c r="Z31" s="401" t="n">
        <f aca="false">$W31-$Y31</f>
        <v>0</v>
      </c>
      <c r="AA31" s="404" t="n">
        <f aca="false">$S31*($T31-$U31-$Z31)</f>
        <v>0</v>
      </c>
      <c r="AB31" s="404" t="n">
        <f aca="false">$S31*($T31-$U31)</f>
        <v>0</v>
      </c>
      <c r="AC31" s="401" t="n">
        <f aca="false">IF(AND($S31=1,$H31&lt;=$C$8),$Z31-N($O31),0)</f>
        <v>0</v>
      </c>
      <c r="AD31" s="405"/>
    </row>
    <row r="32" customFormat="false" ht="15" hidden="false" customHeight="true" outlineLevel="0" collapsed="false">
      <c r="A32" s="406" t="str">
        <f aca="false">Projects!$A$25</f>
        <v>BD-09</v>
      </c>
      <c r="B32" s="398"/>
      <c r="C32" s="407" t="str">
        <f aca="false">Projects!$F$25</f>
        <v>No</v>
      </c>
      <c r="D32" s="407" t="str">
        <f aca="false">Projects!$G$25</f>
        <v>No</v>
      </c>
      <c r="E32" s="400"/>
      <c r="F32" s="408" t="n">
        <f aca="false">IF($E32&lt;&gt;"",$E32,Projects!$B$25)</f>
        <v>18000000</v>
      </c>
      <c r="G32" s="398"/>
      <c r="H32" s="409" t="n">
        <f aca="false">IF($G32&lt;&gt;"",$G32,Projects!$C$25)</f>
        <v>40</v>
      </c>
      <c r="I32" s="403"/>
      <c r="J32" s="400"/>
      <c r="K32" s="398"/>
      <c r="L32" s="400"/>
      <c r="M32" s="398"/>
      <c r="N32" s="403"/>
      <c r="O32" s="400"/>
      <c r="P32" s="398"/>
      <c r="Q32" s="400"/>
      <c r="R32" s="398"/>
      <c r="S32" s="409" t="n">
        <f aca="false">IF(AND($C32="Yes",$D32="Yes"),1,0)</f>
        <v>0</v>
      </c>
      <c r="T32" s="408" t="n">
        <f aca="false">$S32*IF($J32&lt;&gt;"",$J32,$F32*IF($I32&lt;&gt;"",$I32,$C$4)/(1+IF($I32&lt;&gt;"",$I32,$C$4)))</f>
        <v>0</v>
      </c>
      <c r="U32" s="408" t="n">
        <f aca="false">$S32*IF($L32&lt;&gt;"",$L32,$F32*$C$5)</f>
        <v>0</v>
      </c>
      <c r="V32" s="408" t="n">
        <f aca="false">$S32*$F32*IF($N32&lt;&gt;"",$N32,$C$6)</f>
        <v>0</v>
      </c>
      <c r="W32" s="408" t="n">
        <f aca="false">MAX(0,$V32-$U32)</f>
        <v>0</v>
      </c>
      <c r="X32" s="409" t="n">
        <f aca="false">IF($B32&lt;&gt;"",$B32,100+$H32)</f>
        <v>140</v>
      </c>
      <c r="Y32" s="408" t="n">
        <f aca="false">$S32*MAX(0,MIN($W32,$C$7-SUMIFS($W$11:$W$54,$X$11:$X$54,"&lt;"&amp;$X32)))</f>
        <v>0</v>
      </c>
      <c r="Z32" s="408" t="n">
        <f aca="false">$W32-$Y32</f>
        <v>0</v>
      </c>
      <c r="AA32" s="410" t="n">
        <f aca="false">$S32*($T32-$U32-$Z32)</f>
        <v>0</v>
      </c>
      <c r="AB32" s="410" t="n">
        <f aca="false">$S32*($T32-$U32)</f>
        <v>0</v>
      </c>
      <c r="AC32" s="408" t="n">
        <f aca="false">IF(AND($S32=1,$H32&lt;=$C$8),$Z32-N($O32),0)</f>
        <v>0</v>
      </c>
      <c r="AD32" s="411"/>
    </row>
    <row r="33" customFormat="false" ht="15" hidden="false" customHeight="true" outlineLevel="0" collapsed="false">
      <c r="A33" s="397" t="str">
        <f aca="false">Projects!$A$26</f>
        <v>BD-10</v>
      </c>
      <c r="B33" s="398"/>
      <c r="C33" s="399" t="str">
        <f aca="false">Projects!$F$26</f>
        <v>No</v>
      </c>
      <c r="D33" s="399" t="str">
        <f aca="false">Projects!$G$26</f>
        <v>No</v>
      </c>
      <c r="E33" s="400"/>
      <c r="F33" s="401" t="n">
        <f aca="false">IF($E33&lt;&gt;"",$E33,Projects!$B$26)</f>
        <v>18000000</v>
      </c>
      <c r="G33" s="398"/>
      <c r="H33" s="402" t="n">
        <f aca="false">IF($G33&lt;&gt;"",$G33,Projects!$C$26)</f>
        <v>42</v>
      </c>
      <c r="I33" s="403"/>
      <c r="J33" s="400"/>
      <c r="K33" s="398"/>
      <c r="L33" s="400"/>
      <c r="M33" s="398"/>
      <c r="N33" s="403"/>
      <c r="O33" s="400"/>
      <c r="P33" s="398"/>
      <c r="Q33" s="400"/>
      <c r="R33" s="398"/>
      <c r="S33" s="402" t="n">
        <f aca="false">IF(AND($C33="Yes",$D33="Yes"),1,0)</f>
        <v>0</v>
      </c>
      <c r="T33" s="401" t="n">
        <f aca="false">$S33*IF($J33&lt;&gt;"",$J33,$F33*IF($I33&lt;&gt;"",$I33,$C$4)/(1+IF($I33&lt;&gt;"",$I33,$C$4)))</f>
        <v>0</v>
      </c>
      <c r="U33" s="401" t="n">
        <f aca="false">$S33*IF($L33&lt;&gt;"",$L33,$F33*$C$5)</f>
        <v>0</v>
      </c>
      <c r="V33" s="401" t="n">
        <f aca="false">$S33*$F33*IF($N33&lt;&gt;"",$N33,$C$6)</f>
        <v>0</v>
      </c>
      <c r="W33" s="401" t="n">
        <f aca="false">MAX(0,$V33-$U33)</f>
        <v>0</v>
      </c>
      <c r="X33" s="402" t="n">
        <f aca="false">IF($B33&lt;&gt;"",$B33,100+$H33)</f>
        <v>142</v>
      </c>
      <c r="Y33" s="401" t="n">
        <f aca="false">$S33*MAX(0,MIN($W33,$C$7-SUMIFS($W$11:$W$54,$X$11:$X$54,"&lt;"&amp;$X33)))</f>
        <v>0</v>
      </c>
      <c r="Z33" s="401" t="n">
        <f aca="false">$W33-$Y33</f>
        <v>0</v>
      </c>
      <c r="AA33" s="404" t="n">
        <f aca="false">$S33*($T33-$U33-$Z33)</f>
        <v>0</v>
      </c>
      <c r="AB33" s="404" t="n">
        <f aca="false">$S33*($T33-$U33)</f>
        <v>0</v>
      </c>
      <c r="AC33" s="401" t="n">
        <f aca="false">IF(AND($S33=1,$H33&lt;=$C$8),$Z33-N($O33),0)</f>
        <v>0</v>
      </c>
      <c r="AD33" s="405"/>
    </row>
    <row r="34" customFormat="false" ht="15" hidden="false" customHeight="true" outlineLevel="0" collapsed="false">
      <c r="A34" s="406" t="str">
        <f aca="false">Projects!$A$27</f>
        <v>BD-11</v>
      </c>
      <c r="B34" s="398"/>
      <c r="C34" s="407" t="str">
        <f aca="false">Projects!$F$27</f>
        <v>No</v>
      </c>
      <c r="D34" s="407" t="str">
        <f aca="false">Projects!$G$27</f>
        <v>No</v>
      </c>
      <c r="E34" s="400"/>
      <c r="F34" s="408" t="n">
        <f aca="false">IF($E34&lt;&gt;"",$E34,Projects!$B$27)</f>
        <v>15000000</v>
      </c>
      <c r="G34" s="398"/>
      <c r="H34" s="409" t="n">
        <f aca="false">IF($G34&lt;&gt;"",$G34,Projects!$C$27)</f>
        <v>44</v>
      </c>
      <c r="I34" s="403"/>
      <c r="J34" s="400"/>
      <c r="K34" s="398"/>
      <c r="L34" s="400"/>
      <c r="M34" s="398"/>
      <c r="N34" s="403"/>
      <c r="O34" s="400"/>
      <c r="P34" s="398"/>
      <c r="Q34" s="400"/>
      <c r="R34" s="398"/>
      <c r="S34" s="409" t="n">
        <f aca="false">IF(AND($C34="Yes",$D34="Yes"),1,0)</f>
        <v>0</v>
      </c>
      <c r="T34" s="408" t="n">
        <f aca="false">$S34*IF($J34&lt;&gt;"",$J34,$F34*IF($I34&lt;&gt;"",$I34,$C$4)/(1+IF($I34&lt;&gt;"",$I34,$C$4)))</f>
        <v>0</v>
      </c>
      <c r="U34" s="408" t="n">
        <f aca="false">$S34*IF($L34&lt;&gt;"",$L34,$F34*$C$5)</f>
        <v>0</v>
      </c>
      <c r="V34" s="408" t="n">
        <f aca="false">$S34*$F34*IF($N34&lt;&gt;"",$N34,$C$6)</f>
        <v>0</v>
      </c>
      <c r="W34" s="408" t="n">
        <f aca="false">MAX(0,$V34-$U34)</f>
        <v>0</v>
      </c>
      <c r="X34" s="409" t="n">
        <f aca="false">IF($B34&lt;&gt;"",$B34,100+$H34)</f>
        <v>144</v>
      </c>
      <c r="Y34" s="408" t="n">
        <f aca="false">$S34*MAX(0,MIN($W34,$C$7-SUMIFS($W$11:$W$54,$X$11:$X$54,"&lt;"&amp;$X34)))</f>
        <v>0</v>
      </c>
      <c r="Z34" s="408" t="n">
        <f aca="false">$W34-$Y34</f>
        <v>0</v>
      </c>
      <c r="AA34" s="410" t="n">
        <f aca="false">$S34*($T34-$U34-$Z34)</f>
        <v>0</v>
      </c>
      <c r="AB34" s="410" t="n">
        <f aca="false">$S34*($T34-$U34)</f>
        <v>0</v>
      </c>
      <c r="AC34" s="408" t="n">
        <f aca="false">IF(AND($S34=1,$H34&lt;=$C$8),$Z34-N($O34),0)</f>
        <v>0</v>
      </c>
      <c r="AD34" s="411"/>
    </row>
    <row r="35" customFormat="false" ht="15" hidden="false" customHeight="true" outlineLevel="0" collapsed="false">
      <c r="A35" s="397" t="str">
        <f aca="false">Projects!$A$28</f>
        <v>BD-12</v>
      </c>
      <c r="B35" s="398"/>
      <c r="C35" s="399" t="str">
        <f aca="false">Projects!$F$28</f>
        <v>Yes</v>
      </c>
      <c r="D35" s="399" t="str">
        <f aca="false">Projects!$G$28</f>
        <v>No</v>
      </c>
      <c r="E35" s="400"/>
      <c r="F35" s="401" t="n">
        <f aca="false">IF($E35&lt;&gt;"",$E35,Projects!$B$28)</f>
        <v>15000000</v>
      </c>
      <c r="G35" s="398"/>
      <c r="H35" s="402" t="n">
        <f aca="false">IF($G35&lt;&gt;"",$G35,Projects!$C$28)</f>
        <v>46</v>
      </c>
      <c r="I35" s="403"/>
      <c r="J35" s="400"/>
      <c r="K35" s="398"/>
      <c r="L35" s="400"/>
      <c r="M35" s="398"/>
      <c r="N35" s="403"/>
      <c r="O35" s="400"/>
      <c r="P35" s="398"/>
      <c r="Q35" s="400"/>
      <c r="R35" s="398"/>
      <c r="S35" s="402" t="n">
        <f aca="false">IF(AND($C35="Yes",$D35="Yes"),1,0)</f>
        <v>0</v>
      </c>
      <c r="T35" s="401" t="n">
        <f aca="false">$S35*IF($J35&lt;&gt;"",$J35,$F35*IF($I35&lt;&gt;"",$I35,$C$4)/(1+IF($I35&lt;&gt;"",$I35,$C$4)))</f>
        <v>0</v>
      </c>
      <c r="U35" s="401" t="n">
        <f aca="false">$S35*IF($L35&lt;&gt;"",$L35,$F35*$C$5)</f>
        <v>0</v>
      </c>
      <c r="V35" s="401" t="n">
        <f aca="false">$S35*$F35*IF($N35&lt;&gt;"",$N35,$C$6)</f>
        <v>0</v>
      </c>
      <c r="W35" s="401" t="n">
        <f aca="false">MAX(0,$V35-$U35)</f>
        <v>0</v>
      </c>
      <c r="X35" s="402" t="n">
        <f aca="false">IF($B35&lt;&gt;"",$B35,100+$H35)</f>
        <v>146</v>
      </c>
      <c r="Y35" s="401" t="n">
        <f aca="false">$S35*MAX(0,MIN($W35,$C$7-SUMIFS($W$11:$W$54,$X$11:$X$54,"&lt;"&amp;$X35)))</f>
        <v>0</v>
      </c>
      <c r="Z35" s="401" t="n">
        <f aca="false">$W35-$Y35</f>
        <v>0</v>
      </c>
      <c r="AA35" s="404" t="n">
        <f aca="false">$S35*($T35-$U35-$Z35)</f>
        <v>0</v>
      </c>
      <c r="AB35" s="404" t="n">
        <f aca="false">$S35*($T35-$U35)</f>
        <v>0</v>
      </c>
      <c r="AC35" s="401" t="n">
        <f aca="false">IF(AND($S35=1,$H35&lt;=$C$8),$Z35-N($O35),0)</f>
        <v>0</v>
      </c>
      <c r="AD35" s="405"/>
    </row>
    <row r="36" customFormat="false" ht="15" hidden="false" customHeight="true" outlineLevel="0" collapsed="false">
      <c r="A36" s="406" t="str">
        <f aca="false">Projects!$A$29</f>
        <v>BD-13</v>
      </c>
      <c r="B36" s="398"/>
      <c r="C36" s="407" t="str">
        <f aca="false">Projects!$F$29</f>
        <v>No</v>
      </c>
      <c r="D36" s="407" t="str">
        <f aca="false">Projects!$G$29</f>
        <v>No</v>
      </c>
      <c r="E36" s="400"/>
      <c r="F36" s="408" t="n">
        <f aca="false">IF($E36&lt;&gt;"",$E36,Projects!$B$29)</f>
        <v>15000000</v>
      </c>
      <c r="G36" s="398"/>
      <c r="H36" s="409" t="n">
        <f aca="false">IF($G36&lt;&gt;"",$G36,Projects!$C$29)</f>
        <v>48</v>
      </c>
      <c r="I36" s="403"/>
      <c r="J36" s="400"/>
      <c r="K36" s="398"/>
      <c r="L36" s="400"/>
      <c r="M36" s="398"/>
      <c r="N36" s="403"/>
      <c r="O36" s="400"/>
      <c r="P36" s="398"/>
      <c r="Q36" s="400"/>
      <c r="R36" s="398"/>
      <c r="S36" s="409" t="n">
        <f aca="false">IF(AND($C36="Yes",$D36="Yes"),1,0)</f>
        <v>0</v>
      </c>
      <c r="T36" s="408" t="n">
        <f aca="false">$S36*IF($J36&lt;&gt;"",$J36,$F36*IF($I36&lt;&gt;"",$I36,$C$4)/(1+IF($I36&lt;&gt;"",$I36,$C$4)))</f>
        <v>0</v>
      </c>
      <c r="U36" s="408" t="n">
        <f aca="false">$S36*IF($L36&lt;&gt;"",$L36,$F36*$C$5)</f>
        <v>0</v>
      </c>
      <c r="V36" s="408" t="n">
        <f aca="false">$S36*$F36*IF($N36&lt;&gt;"",$N36,$C$6)</f>
        <v>0</v>
      </c>
      <c r="W36" s="408" t="n">
        <f aca="false">MAX(0,$V36-$U36)</f>
        <v>0</v>
      </c>
      <c r="X36" s="409" t="n">
        <f aca="false">IF($B36&lt;&gt;"",$B36,100+$H36)</f>
        <v>148</v>
      </c>
      <c r="Y36" s="408" t="n">
        <f aca="false">$S36*MAX(0,MIN($W36,$C$7-SUMIFS($W$11:$W$54,$X$11:$X$54,"&lt;"&amp;$X36)))</f>
        <v>0</v>
      </c>
      <c r="Z36" s="408" t="n">
        <f aca="false">$W36-$Y36</f>
        <v>0</v>
      </c>
      <c r="AA36" s="410" t="n">
        <f aca="false">$S36*($T36-$U36-$Z36)</f>
        <v>0</v>
      </c>
      <c r="AB36" s="410" t="n">
        <f aca="false">$S36*($T36-$U36)</f>
        <v>0</v>
      </c>
      <c r="AC36" s="408" t="n">
        <f aca="false">IF(AND($S36=1,$H36&lt;=$C$8),$Z36-N($O36),0)</f>
        <v>0</v>
      </c>
      <c r="AD36" s="411"/>
    </row>
    <row r="37" customFormat="false" ht="15" hidden="false" customHeight="true" outlineLevel="0" collapsed="false">
      <c r="A37" s="397" t="str">
        <f aca="false">Projects!$A$30</f>
        <v>BD-14</v>
      </c>
      <c r="B37" s="398"/>
      <c r="C37" s="399" t="str">
        <f aca="false">Projects!$F$30</f>
        <v>No</v>
      </c>
      <c r="D37" s="399" t="str">
        <f aca="false">Projects!$G$30</f>
        <v>No</v>
      </c>
      <c r="E37" s="400"/>
      <c r="F37" s="401" t="n">
        <f aca="false">IF($E37&lt;&gt;"",$E37,Projects!$B$30)</f>
        <v>15000000</v>
      </c>
      <c r="G37" s="398"/>
      <c r="H37" s="402" t="n">
        <f aca="false">IF($G37&lt;&gt;"",$G37,Projects!$C$30)</f>
        <v>50</v>
      </c>
      <c r="I37" s="403"/>
      <c r="J37" s="400"/>
      <c r="K37" s="398"/>
      <c r="L37" s="400"/>
      <c r="M37" s="398"/>
      <c r="N37" s="403"/>
      <c r="O37" s="400"/>
      <c r="P37" s="398"/>
      <c r="Q37" s="400"/>
      <c r="R37" s="398"/>
      <c r="S37" s="402" t="n">
        <f aca="false">IF(AND($C37="Yes",$D37="Yes"),1,0)</f>
        <v>0</v>
      </c>
      <c r="T37" s="401" t="n">
        <f aca="false">$S37*IF($J37&lt;&gt;"",$J37,$F37*IF($I37&lt;&gt;"",$I37,$C$4)/(1+IF($I37&lt;&gt;"",$I37,$C$4)))</f>
        <v>0</v>
      </c>
      <c r="U37" s="401" t="n">
        <f aca="false">$S37*IF($L37&lt;&gt;"",$L37,$F37*$C$5)</f>
        <v>0</v>
      </c>
      <c r="V37" s="401" t="n">
        <f aca="false">$S37*$F37*IF($N37&lt;&gt;"",$N37,$C$6)</f>
        <v>0</v>
      </c>
      <c r="W37" s="401" t="n">
        <f aca="false">MAX(0,$V37-$U37)</f>
        <v>0</v>
      </c>
      <c r="X37" s="402" t="n">
        <f aca="false">IF($B37&lt;&gt;"",$B37,100+$H37)</f>
        <v>150</v>
      </c>
      <c r="Y37" s="401" t="n">
        <f aca="false">$S37*MAX(0,MIN($W37,$C$7-SUMIFS($W$11:$W$54,$X$11:$X$54,"&lt;"&amp;$X37)))</f>
        <v>0</v>
      </c>
      <c r="Z37" s="401" t="n">
        <f aca="false">$W37-$Y37</f>
        <v>0</v>
      </c>
      <c r="AA37" s="404" t="n">
        <f aca="false">$S37*($T37-$U37-$Z37)</f>
        <v>0</v>
      </c>
      <c r="AB37" s="404" t="n">
        <f aca="false">$S37*($T37-$U37)</f>
        <v>0</v>
      </c>
      <c r="AC37" s="401" t="n">
        <f aca="false">IF(AND($S37=1,$H37&lt;=$C$8),$Z37-N($O37),0)</f>
        <v>0</v>
      </c>
      <c r="AD37" s="405"/>
    </row>
    <row r="38" customFormat="false" ht="15" hidden="false" customHeight="true" outlineLevel="0" collapsed="false">
      <c r="A38" s="406" t="str">
        <f aca="false">Projects!$A$31</f>
        <v>BD-15</v>
      </c>
      <c r="B38" s="398"/>
      <c r="C38" s="407" t="str">
        <f aca="false">Projects!$F$31</f>
        <v>No</v>
      </c>
      <c r="D38" s="407" t="str">
        <f aca="false">Projects!$G$31</f>
        <v>No</v>
      </c>
      <c r="E38" s="400"/>
      <c r="F38" s="408" t="n">
        <f aca="false">IF($E38&lt;&gt;"",$E38,Projects!$B$31)</f>
        <v>18000000</v>
      </c>
      <c r="G38" s="398"/>
      <c r="H38" s="409" t="n">
        <f aca="false">IF($G38&lt;&gt;"",$G38,Projects!$C$31)</f>
        <v>52</v>
      </c>
      <c r="I38" s="403"/>
      <c r="J38" s="400"/>
      <c r="K38" s="398"/>
      <c r="L38" s="400"/>
      <c r="M38" s="398"/>
      <c r="N38" s="403"/>
      <c r="O38" s="400"/>
      <c r="P38" s="398"/>
      <c r="Q38" s="400"/>
      <c r="R38" s="398"/>
      <c r="S38" s="409" t="n">
        <f aca="false">IF(AND($C38="Yes",$D38="Yes"),1,0)</f>
        <v>0</v>
      </c>
      <c r="T38" s="408" t="n">
        <f aca="false">$S38*IF($J38&lt;&gt;"",$J38,$F38*IF($I38&lt;&gt;"",$I38,$C$4)/(1+IF($I38&lt;&gt;"",$I38,$C$4)))</f>
        <v>0</v>
      </c>
      <c r="U38" s="408" t="n">
        <f aca="false">$S38*IF($L38&lt;&gt;"",$L38,$F38*$C$5)</f>
        <v>0</v>
      </c>
      <c r="V38" s="408" t="n">
        <f aca="false">$S38*$F38*IF($N38&lt;&gt;"",$N38,$C$6)</f>
        <v>0</v>
      </c>
      <c r="W38" s="408" t="n">
        <f aca="false">MAX(0,$V38-$U38)</f>
        <v>0</v>
      </c>
      <c r="X38" s="409" t="n">
        <f aca="false">IF($B38&lt;&gt;"",$B38,100+$H38)</f>
        <v>152</v>
      </c>
      <c r="Y38" s="408" t="n">
        <f aca="false">$S38*MAX(0,MIN($W38,$C$7-SUMIFS($W$11:$W$54,$X$11:$X$54,"&lt;"&amp;$X38)))</f>
        <v>0</v>
      </c>
      <c r="Z38" s="408" t="n">
        <f aca="false">$W38-$Y38</f>
        <v>0</v>
      </c>
      <c r="AA38" s="410" t="n">
        <f aca="false">$S38*($T38-$U38-$Z38)</f>
        <v>0</v>
      </c>
      <c r="AB38" s="410" t="n">
        <f aca="false">$S38*($T38-$U38)</f>
        <v>0</v>
      </c>
      <c r="AC38" s="408" t="n">
        <f aca="false">IF(AND($S38=1,$H38&lt;=$C$8),$Z38-N($O38),0)</f>
        <v>0</v>
      </c>
      <c r="AD38" s="411"/>
    </row>
    <row r="39" customFormat="false" ht="15" hidden="false" customHeight="true" outlineLevel="0" collapsed="false">
      <c r="A39" s="397" t="str">
        <f aca="false">Projects!$A$32</f>
        <v>BD-16</v>
      </c>
      <c r="B39" s="398"/>
      <c r="C39" s="399" t="str">
        <f aca="false">Projects!$F$32</f>
        <v>No</v>
      </c>
      <c r="D39" s="399" t="str">
        <f aca="false">Projects!$G$32</f>
        <v>No</v>
      </c>
      <c r="E39" s="400"/>
      <c r="F39" s="401" t="n">
        <f aca="false">IF($E39&lt;&gt;"",$E39,Projects!$B$32)</f>
        <v>15000000</v>
      </c>
      <c r="G39" s="398"/>
      <c r="H39" s="402" t="n">
        <f aca="false">IF($G39&lt;&gt;"",$G39,Projects!$C$32)</f>
        <v>54</v>
      </c>
      <c r="I39" s="403"/>
      <c r="J39" s="400"/>
      <c r="K39" s="398"/>
      <c r="L39" s="400"/>
      <c r="M39" s="398"/>
      <c r="N39" s="403"/>
      <c r="O39" s="400"/>
      <c r="P39" s="398"/>
      <c r="Q39" s="400"/>
      <c r="R39" s="398"/>
      <c r="S39" s="402" t="n">
        <f aca="false">IF(AND($C39="Yes",$D39="Yes"),1,0)</f>
        <v>0</v>
      </c>
      <c r="T39" s="401" t="n">
        <f aca="false">$S39*IF($J39&lt;&gt;"",$J39,$F39*IF($I39&lt;&gt;"",$I39,$C$4)/(1+IF($I39&lt;&gt;"",$I39,$C$4)))</f>
        <v>0</v>
      </c>
      <c r="U39" s="401" t="n">
        <f aca="false">$S39*IF($L39&lt;&gt;"",$L39,$F39*$C$5)</f>
        <v>0</v>
      </c>
      <c r="V39" s="401" t="n">
        <f aca="false">$S39*$F39*IF($N39&lt;&gt;"",$N39,$C$6)</f>
        <v>0</v>
      </c>
      <c r="W39" s="401" t="n">
        <f aca="false">MAX(0,$V39-$U39)</f>
        <v>0</v>
      </c>
      <c r="X39" s="402" t="n">
        <f aca="false">IF($B39&lt;&gt;"",$B39,100+$H39)</f>
        <v>154</v>
      </c>
      <c r="Y39" s="401" t="n">
        <f aca="false">$S39*MAX(0,MIN($W39,$C$7-SUMIFS($W$11:$W$54,$X$11:$X$54,"&lt;"&amp;$X39)))</f>
        <v>0</v>
      </c>
      <c r="Z39" s="401" t="n">
        <f aca="false">$W39-$Y39</f>
        <v>0</v>
      </c>
      <c r="AA39" s="404" t="n">
        <f aca="false">$S39*($T39-$U39-$Z39)</f>
        <v>0</v>
      </c>
      <c r="AB39" s="404" t="n">
        <f aca="false">$S39*($T39-$U39)</f>
        <v>0</v>
      </c>
      <c r="AC39" s="401" t="n">
        <f aca="false">IF(AND($S39=1,$H39&lt;=$C$8),$Z39-N($O39),0)</f>
        <v>0</v>
      </c>
      <c r="AD39" s="405"/>
    </row>
    <row r="40" customFormat="false" ht="15" hidden="false" customHeight="true" outlineLevel="0" collapsed="false">
      <c r="A40" s="406" t="str">
        <f aca="false">Projects!$A$33</f>
        <v>BD-17</v>
      </c>
      <c r="B40" s="398"/>
      <c r="C40" s="407" t="str">
        <f aca="false">Projects!$F$33</f>
        <v>No</v>
      </c>
      <c r="D40" s="407" t="str">
        <f aca="false">Projects!$G$33</f>
        <v>No</v>
      </c>
      <c r="E40" s="400"/>
      <c r="F40" s="408" t="n">
        <f aca="false">IF($E40&lt;&gt;"",$E40,Projects!$B$33)</f>
        <v>15000000</v>
      </c>
      <c r="G40" s="398"/>
      <c r="H40" s="409" t="n">
        <f aca="false">IF($G40&lt;&gt;"",$G40,Projects!$C$33)</f>
        <v>56</v>
      </c>
      <c r="I40" s="403"/>
      <c r="J40" s="400"/>
      <c r="K40" s="398"/>
      <c r="L40" s="400"/>
      <c r="M40" s="398"/>
      <c r="N40" s="403"/>
      <c r="O40" s="400"/>
      <c r="P40" s="398"/>
      <c r="Q40" s="400"/>
      <c r="R40" s="398"/>
      <c r="S40" s="409" t="n">
        <f aca="false">IF(AND($C40="Yes",$D40="Yes"),1,0)</f>
        <v>0</v>
      </c>
      <c r="T40" s="408" t="n">
        <f aca="false">$S40*IF($J40&lt;&gt;"",$J40,$F40*IF($I40&lt;&gt;"",$I40,$C$4)/(1+IF($I40&lt;&gt;"",$I40,$C$4)))</f>
        <v>0</v>
      </c>
      <c r="U40" s="408" t="n">
        <f aca="false">$S40*IF($L40&lt;&gt;"",$L40,$F40*$C$5)</f>
        <v>0</v>
      </c>
      <c r="V40" s="408" t="n">
        <f aca="false">$S40*$F40*IF($N40&lt;&gt;"",$N40,$C$6)</f>
        <v>0</v>
      </c>
      <c r="W40" s="408" t="n">
        <f aca="false">MAX(0,$V40-$U40)</f>
        <v>0</v>
      </c>
      <c r="X40" s="409" t="n">
        <f aca="false">IF($B40&lt;&gt;"",$B40,100+$H40)</f>
        <v>156</v>
      </c>
      <c r="Y40" s="408" t="n">
        <f aca="false">$S40*MAX(0,MIN($W40,$C$7-SUMIFS($W$11:$W$54,$X$11:$X$54,"&lt;"&amp;$X40)))</f>
        <v>0</v>
      </c>
      <c r="Z40" s="408" t="n">
        <f aca="false">$W40-$Y40</f>
        <v>0</v>
      </c>
      <c r="AA40" s="410" t="n">
        <f aca="false">$S40*($T40-$U40-$Z40)</f>
        <v>0</v>
      </c>
      <c r="AB40" s="410" t="n">
        <f aca="false">$S40*($T40-$U40)</f>
        <v>0</v>
      </c>
      <c r="AC40" s="408" t="n">
        <f aca="false">IF(AND($S40=1,$H40&lt;=$C$8),$Z40-N($O40),0)</f>
        <v>0</v>
      </c>
      <c r="AD40" s="411"/>
    </row>
    <row r="41" customFormat="false" ht="15" hidden="false" customHeight="true" outlineLevel="0" collapsed="false">
      <c r="A41" s="397" t="str">
        <f aca="false">Projects!$A$34</f>
        <v>BD-18</v>
      </c>
      <c r="B41" s="398"/>
      <c r="C41" s="399" t="str">
        <f aca="false">Projects!$F$34</f>
        <v>Yes</v>
      </c>
      <c r="D41" s="399" t="str">
        <f aca="false">Projects!$G$34</f>
        <v>No</v>
      </c>
      <c r="E41" s="400"/>
      <c r="F41" s="401" t="n">
        <f aca="false">IF($E41&lt;&gt;"",$E41,Projects!$B$34)</f>
        <v>18000000</v>
      </c>
      <c r="G41" s="398"/>
      <c r="H41" s="402" t="n">
        <f aca="false">IF($G41&lt;&gt;"",$G41,Projects!$C$34)</f>
        <v>58</v>
      </c>
      <c r="I41" s="403"/>
      <c r="J41" s="400"/>
      <c r="K41" s="398"/>
      <c r="L41" s="400"/>
      <c r="M41" s="398"/>
      <c r="N41" s="403"/>
      <c r="O41" s="400"/>
      <c r="P41" s="398"/>
      <c r="Q41" s="400"/>
      <c r="R41" s="398"/>
      <c r="S41" s="402" t="n">
        <f aca="false">IF(AND($C41="Yes",$D41="Yes"),1,0)</f>
        <v>0</v>
      </c>
      <c r="T41" s="401" t="n">
        <f aca="false">$S41*IF($J41&lt;&gt;"",$J41,$F41*IF($I41&lt;&gt;"",$I41,$C$4)/(1+IF($I41&lt;&gt;"",$I41,$C$4)))</f>
        <v>0</v>
      </c>
      <c r="U41" s="401" t="n">
        <f aca="false">$S41*IF($L41&lt;&gt;"",$L41,$F41*$C$5)</f>
        <v>0</v>
      </c>
      <c r="V41" s="401" t="n">
        <f aca="false">$S41*$F41*IF($N41&lt;&gt;"",$N41,$C$6)</f>
        <v>0</v>
      </c>
      <c r="W41" s="401" t="n">
        <f aca="false">MAX(0,$V41-$U41)</f>
        <v>0</v>
      </c>
      <c r="X41" s="402" t="n">
        <f aca="false">IF($B41&lt;&gt;"",$B41,100+$H41)</f>
        <v>158</v>
      </c>
      <c r="Y41" s="401" t="n">
        <f aca="false">$S41*MAX(0,MIN($W41,$C$7-SUMIFS($W$11:$W$54,$X$11:$X$54,"&lt;"&amp;$X41)))</f>
        <v>0</v>
      </c>
      <c r="Z41" s="401" t="n">
        <f aca="false">$W41-$Y41</f>
        <v>0</v>
      </c>
      <c r="AA41" s="404" t="n">
        <f aca="false">$S41*($T41-$U41-$Z41)</f>
        <v>0</v>
      </c>
      <c r="AB41" s="404" t="n">
        <f aca="false">$S41*($T41-$U41)</f>
        <v>0</v>
      </c>
      <c r="AC41" s="401" t="n">
        <f aca="false">IF(AND($S41=1,$H41&lt;=$C$8),$Z41-N($O41),0)</f>
        <v>0</v>
      </c>
      <c r="AD41" s="405"/>
    </row>
    <row r="42" customFormat="false" ht="15" hidden="false" customHeight="true" outlineLevel="0" collapsed="false">
      <c r="A42" s="406" t="str">
        <f aca="false">Projects!$A$35</f>
        <v>BD-19</v>
      </c>
      <c r="B42" s="398"/>
      <c r="C42" s="407" t="str">
        <f aca="false">Projects!$F$35</f>
        <v>No</v>
      </c>
      <c r="D42" s="407" t="str">
        <f aca="false">Projects!$G$35</f>
        <v>No</v>
      </c>
      <c r="E42" s="400"/>
      <c r="F42" s="408" t="n">
        <f aca="false">IF($E42&lt;&gt;"",$E42,Projects!$B$35)</f>
        <v>15000000</v>
      </c>
      <c r="G42" s="398"/>
      <c r="H42" s="409" t="n">
        <f aca="false">IF($G42&lt;&gt;"",$G42,Projects!$C$35)</f>
        <v>60</v>
      </c>
      <c r="I42" s="403"/>
      <c r="J42" s="400"/>
      <c r="K42" s="398"/>
      <c r="L42" s="400"/>
      <c r="M42" s="398"/>
      <c r="N42" s="403"/>
      <c r="O42" s="400"/>
      <c r="P42" s="398"/>
      <c r="Q42" s="400"/>
      <c r="R42" s="398"/>
      <c r="S42" s="409" t="n">
        <f aca="false">IF(AND($C42="Yes",$D42="Yes"),1,0)</f>
        <v>0</v>
      </c>
      <c r="T42" s="408" t="n">
        <f aca="false">$S42*IF($J42&lt;&gt;"",$J42,$F42*IF($I42&lt;&gt;"",$I42,$C$4)/(1+IF($I42&lt;&gt;"",$I42,$C$4)))</f>
        <v>0</v>
      </c>
      <c r="U42" s="408" t="n">
        <f aca="false">$S42*IF($L42&lt;&gt;"",$L42,$F42*$C$5)</f>
        <v>0</v>
      </c>
      <c r="V42" s="408" t="n">
        <f aca="false">$S42*$F42*IF($N42&lt;&gt;"",$N42,$C$6)</f>
        <v>0</v>
      </c>
      <c r="W42" s="408" t="n">
        <f aca="false">MAX(0,$V42-$U42)</f>
        <v>0</v>
      </c>
      <c r="X42" s="409" t="n">
        <f aca="false">IF($B42&lt;&gt;"",$B42,100+$H42)</f>
        <v>160</v>
      </c>
      <c r="Y42" s="408" t="n">
        <f aca="false">$S42*MAX(0,MIN($W42,$C$7-SUMIFS($W$11:$W$54,$X$11:$X$54,"&lt;"&amp;$X42)))</f>
        <v>0</v>
      </c>
      <c r="Z42" s="408" t="n">
        <f aca="false">$W42-$Y42</f>
        <v>0</v>
      </c>
      <c r="AA42" s="410" t="n">
        <f aca="false">$S42*($T42-$U42-$Z42)</f>
        <v>0</v>
      </c>
      <c r="AB42" s="410" t="n">
        <f aca="false">$S42*($T42-$U42)</f>
        <v>0</v>
      </c>
      <c r="AC42" s="408" t="n">
        <f aca="false">IF(AND($S42=1,$H42&lt;=$C$8),$Z42-N($O42),0)</f>
        <v>0</v>
      </c>
      <c r="AD42" s="411"/>
    </row>
    <row r="43" customFormat="false" ht="15" hidden="false" customHeight="true" outlineLevel="0" collapsed="false">
      <c r="A43" s="397" t="str">
        <f aca="false">Projects!$A$36</f>
        <v>BD-20</v>
      </c>
      <c r="B43" s="398"/>
      <c r="C43" s="399" t="str">
        <f aca="false">Projects!$F$36</f>
        <v>No</v>
      </c>
      <c r="D43" s="399" t="str">
        <f aca="false">Projects!$G$36</f>
        <v>No</v>
      </c>
      <c r="E43" s="400"/>
      <c r="F43" s="401" t="n">
        <f aca="false">IF($E43&lt;&gt;"",$E43,Projects!$B$36)</f>
        <v>18000000</v>
      </c>
      <c r="G43" s="398"/>
      <c r="H43" s="402" t="n">
        <f aca="false">IF($G43&lt;&gt;"",$G43,Projects!$C$36)</f>
        <v>62</v>
      </c>
      <c r="I43" s="403"/>
      <c r="J43" s="400"/>
      <c r="K43" s="398"/>
      <c r="L43" s="400"/>
      <c r="M43" s="398"/>
      <c r="N43" s="403"/>
      <c r="O43" s="400"/>
      <c r="P43" s="398"/>
      <c r="Q43" s="400"/>
      <c r="R43" s="398"/>
      <c r="S43" s="402" t="n">
        <f aca="false">IF(AND($C43="Yes",$D43="Yes"),1,0)</f>
        <v>0</v>
      </c>
      <c r="T43" s="401" t="n">
        <f aca="false">$S43*IF($J43&lt;&gt;"",$J43,$F43*IF($I43&lt;&gt;"",$I43,$C$4)/(1+IF($I43&lt;&gt;"",$I43,$C$4)))</f>
        <v>0</v>
      </c>
      <c r="U43" s="401" t="n">
        <f aca="false">$S43*IF($L43&lt;&gt;"",$L43,$F43*$C$5)</f>
        <v>0</v>
      </c>
      <c r="V43" s="401" t="n">
        <f aca="false">$S43*$F43*IF($N43&lt;&gt;"",$N43,$C$6)</f>
        <v>0</v>
      </c>
      <c r="W43" s="401" t="n">
        <f aca="false">MAX(0,$V43-$U43)</f>
        <v>0</v>
      </c>
      <c r="X43" s="402" t="n">
        <f aca="false">IF($B43&lt;&gt;"",$B43,100+$H43)</f>
        <v>162</v>
      </c>
      <c r="Y43" s="401" t="n">
        <f aca="false">$S43*MAX(0,MIN($W43,$C$7-SUMIFS($W$11:$W$54,$X$11:$X$54,"&lt;"&amp;$X43)))</f>
        <v>0</v>
      </c>
      <c r="Z43" s="401" t="n">
        <f aca="false">$W43-$Y43</f>
        <v>0</v>
      </c>
      <c r="AA43" s="404" t="n">
        <f aca="false">$S43*($T43-$U43-$Z43)</f>
        <v>0</v>
      </c>
      <c r="AB43" s="404" t="n">
        <f aca="false">$S43*($T43-$U43)</f>
        <v>0</v>
      </c>
      <c r="AC43" s="401" t="n">
        <f aca="false">IF(AND($S43=1,$H43&lt;=$C$8),$Z43-N($O43),0)</f>
        <v>0</v>
      </c>
      <c r="AD43" s="405"/>
    </row>
    <row r="44" customFormat="false" ht="15" hidden="false" customHeight="true" outlineLevel="0" collapsed="false">
      <c r="A44" s="406" t="str">
        <f aca="false">Projects!$A$37</f>
        <v>BD-21</v>
      </c>
      <c r="B44" s="398"/>
      <c r="C44" s="407" t="str">
        <f aca="false">Projects!$F$37</f>
        <v>No</v>
      </c>
      <c r="D44" s="407" t="str">
        <f aca="false">Projects!$G$37</f>
        <v>No</v>
      </c>
      <c r="E44" s="400"/>
      <c r="F44" s="408" t="n">
        <f aca="false">IF($E44&lt;&gt;"",$E44,Projects!$B$37)</f>
        <v>15000000</v>
      </c>
      <c r="G44" s="398"/>
      <c r="H44" s="409" t="n">
        <f aca="false">IF($G44&lt;&gt;"",$G44,Projects!$C$37)</f>
        <v>64</v>
      </c>
      <c r="I44" s="403"/>
      <c r="J44" s="400"/>
      <c r="K44" s="398"/>
      <c r="L44" s="400"/>
      <c r="M44" s="398"/>
      <c r="N44" s="403"/>
      <c r="O44" s="400"/>
      <c r="P44" s="398"/>
      <c r="Q44" s="400"/>
      <c r="R44" s="398"/>
      <c r="S44" s="409" t="n">
        <f aca="false">IF(AND($C44="Yes",$D44="Yes"),1,0)</f>
        <v>0</v>
      </c>
      <c r="T44" s="408" t="n">
        <f aca="false">$S44*IF($J44&lt;&gt;"",$J44,$F44*IF($I44&lt;&gt;"",$I44,$C$4)/(1+IF($I44&lt;&gt;"",$I44,$C$4)))</f>
        <v>0</v>
      </c>
      <c r="U44" s="408" t="n">
        <f aca="false">$S44*IF($L44&lt;&gt;"",$L44,$F44*$C$5)</f>
        <v>0</v>
      </c>
      <c r="V44" s="408" t="n">
        <f aca="false">$S44*$F44*IF($N44&lt;&gt;"",$N44,$C$6)</f>
        <v>0</v>
      </c>
      <c r="W44" s="408" t="n">
        <f aca="false">MAX(0,$V44-$U44)</f>
        <v>0</v>
      </c>
      <c r="X44" s="409" t="n">
        <f aca="false">IF($B44&lt;&gt;"",$B44,100+$H44)</f>
        <v>164</v>
      </c>
      <c r="Y44" s="408" t="n">
        <f aca="false">$S44*MAX(0,MIN($W44,$C$7-SUMIFS($W$11:$W$54,$X$11:$X$54,"&lt;"&amp;$X44)))</f>
        <v>0</v>
      </c>
      <c r="Z44" s="408" t="n">
        <f aca="false">$W44-$Y44</f>
        <v>0</v>
      </c>
      <c r="AA44" s="410" t="n">
        <f aca="false">$S44*($T44-$U44-$Z44)</f>
        <v>0</v>
      </c>
      <c r="AB44" s="410" t="n">
        <f aca="false">$S44*($T44-$U44)</f>
        <v>0</v>
      </c>
      <c r="AC44" s="408" t="n">
        <f aca="false">IF(AND($S44=1,$H44&lt;=$C$8),$Z44-N($O44),0)</f>
        <v>0</v>
      </c>
      <c r="AD44" s="411"/>
    </row>
    <row r="45" customFormat="false" ht="15" hidden="false" customHeight="true" outlineLevel="0" collapsed="false">
      <c r="A45" s="397" t="str">
        <f aca="false">Projects!$A$38</f>
        <v>BD-22</v>
      </c>
      <c r="B45" s="398"/>
      <c r="C45" s="399" t="str">
        <f aca="false">Projects!$F$38</f>
        <v>No</v>
      </c>
      <c r="D45" s="399" t="str">
        <f aca="false">Projects!$G$38</f>
        <v>No</v>
      </c>
      <c r="E45" s="400"/>
      <c r="F45" s="401" t="n">
        <f aca="false">IF($E45&lt;&gt;"",$E45,Projects!$B$38)</f>
        <v>15000000</v>
      </c>
      <c r="G45" s="398"/>
      <c r="H45" s="402" t="n">
        <f aca="false">IF($G45&lt;&gt;"",$G45,Projects!$C$38)</f>
        <v>66</v>
      </c>
      <c r="I45" s="403"/>
      <c r="J45" s="400"/>
      <c r="K45" s="398"/>
      <c r="L45" s="400"/>
      <c r="M45" s="398"/>
      <c r="N45" s="403"/>
      <c r="O45" s="400"/>
      <c r="P45" s="398"/>
      <c r="Q45" s="400"/>
      <c r="R45" s="398"/>
      <c r="S45" s="402" t="n">
        <f aca="false">IF(AND($C45="Yes",$D45="Yes"),1,0)</f>
        <v>0</v>
      </c>
      <c r="T45" s="401" t="n">
        <f aca="false">$S45*IF($J45&lt;&gt;"",$J45,$F45*IF($I45&lt;&gt;"",$I45,$C$4)/(1+IF($I45&lt;&gt;"",$I45,$C$4)))</f>
        <v>0</v>
      </c>
      <c r="U45" s="401" t="n">
        <f aca="false">$S45*IF($L45&lt;&gt;"",$L45,$F45*$C$5)</f>
        <v>0</v>
      </c>
      <c r="V45" s="401" t="n">
        <f aca="false">$S45*$F45*IF($N45&lt;&gt;"",$N45,$C$6)</f>
        <v>0</v>
      </c>
      <c r="W45" s="401" t="n">
        <f aca="false">MAX(0,$V45-$U45)</f>
        <v>0</v>
      </c>
      <c r="X45" s="402" t="n">
        <f aca="false">IF($B45&lt;&gt;"",$B45,100+$H45)</f>
        <v>166</v>
      </c>
      <c r="Y45" s="401" t="n">
        <f aca="false">$S45*MAX(0,MIN($W45,$C$7-SUMIFS($W$11:$W$54,$X$11:$X$54,"&lt;"&amp;$X45)))</f>
        <v>0</v>
      </c>
      <c r="Z45" s="401" t="n">
        <f aca="false">$W45-$Y45</f>
        <v>0</v>
      </c>
      <c r="AA45" s="404" t="n">
        <f aca="false">$S45*($T45-$U45-$Z45)</f>
        <v>0</v>
      </c>
      <c r="AB45" s="404" t="n">
        <f aca="false">$S45*($T45-$U45)</f>
        <v>0</v>
      </c>
      <c r="AC45" s="401" t="n">
        <f aca="false">IF(AND($S45=1,$H45&lt;=$C$8),$Z45-N($O45),0)</f>
        <v>0</v>
      </c>
      <c r="AD45" s="405"/>
    </row>
    <row r="46" customFormat="false" ht="15" hidden="false" customHeight="true" outlineLevel="0" collapsed="false">
      <c r="A46" s="406" t="str">
        <f aca="false">Projects!$A$39</f>
        <v>BD-23</v>
      </c>
      <c r="B46" s="398"/>
      <c r="C46" s="407" t="str">
        <f aca="false">Projects!$F$39</f>
        <v>No</v>
      </c>
      <c r="D46" s="407" t="str">
        <f aca="false">Projects!$G$39</f>
        <v>No</v>
      </c>
      <c r="E46" s="400"/>
      <c r="F46" s="408" t="n">
        <f aca="false">IF($E46&lt;&gt;"",$E46,Projects!$B$39)</f>
        <v>18000000</v>
      </c>
      <c r="G46" s="398"/>
      <c r="H46" s="409" t="n">
        <f aca="false">IF($G46&lt;&gt;"",$G46,Projects!$C$39)</f>
        <v>68</v>
      </c>
      <c r="I46" s="403"/>
      <c r="J46" s="400"/>
      <c r="K46" s="398"/>
      <c r="L46" s="400"/>
      <c r="M46" s="398"/>
      <c r="N46" s="403"/>
      <c r="O46" s="400"/>
      <c r="P46" s="398"/>
      <c r="Q46" s="400"/>
      <c r="R46" s="398"/>
      <c r="S46" s="409" t="n">
        <f aca="false">IF(AND($C46="Yes",$D46="Yes"),1,0)</f>
        <v>0</v>
      </c>
      <c r="T46" s="408" t="n">
        <f aca="false">$S46*IF($J46&lt;&gt;"",$J46,$F46*IF($I46&lt;&gt;"",$I46,$C$4)/(1+IF($I46&lt;&gt;"",$I46,$C$4)))</f>
        <v>0</v>
      </c>
      <c r="U46" s="408" t="n">
        <f aca="false">$S46*IF($L46&lt;&gt;"",$L46,$F46*$C$5)</f>
        <v>0</v>
      </c>
      <c r="V46" s="408" t="n">
        <f aca="false">$S46*$F46*IF($N46&lt;&gt;"",$N46,$C$6)</f>
        <v>0</v>
      </c>
      <c r="W46" s="408" t="n">
        <f aca="false">MAX(0,$V46-$U46)</f>
        <v>0</v>
      </c>
      <c r="X46" s="409" t="n">
        <f aca="false">IF($B46&lt;&gt;"",$B46,100+$H46)</f>
        <v>168</v>
      </c>
      <c r="Y46" s="408" t="n">
        <f aca="false">$S46*MAX(0,MIN($W46,$C$7-SUMIFS($W$11:$W$54,$X$11:$X$54,"&lt;"&amp;$X46)))</f>
        <v>0</v>
      </c>
      <c r="Z46" s="408" t="n">
        <f aca="false">$W46-$Y46</f>
        <v>0</v>
      </c>
      <c r="AA46" s="410" t="n">
        <f aca="false">$S46*($T46-$U46-$Z46)</f>
        <v>0</v>
      </c>
      <c r="AB46" s="410" t="n">
        <f aca="false">$S46*($T46-$U46)</f>
        <v>0</v>
      </c>
      <c r="AC46" s="408" t="n">
        <f aca="false">IF(AND($S46=1,$H46&lt;=$C$8),$Z46-N($O46),0)</f>
        <v>0</v>
      </c>
      <c r="AD46" s="411"/>
    </row>
    <row r="47" customFormat="false" ht="15" hidden="false" customHeight="true" outlineLevel="0" collapsed="false">
      <c r="A47" s="397" t="str">
        <f aca="false">Projects!$A$40</f>
        <v>BD-24</v>
      </c>
      <c r="B47" s="398"/>
      <c r="C47" s="399" t="str">
        <f aca="false">Projects!$F$40</f>
        <v>Yes</v>
      </c>
      <c r="D47" s="399" t="str">
        <f aca="false">Projects!$G$40</f>
        <v>No</v>
      </c>
      <c r="E47" s="400"/>
      <c r="F47" s="401" t="n">
        <f aca="false">IF($E47&lt;&gt;"",$E47,Projects!$B$40)</f>
        <v>15000000</v>
      </c>
      <c r="G47" s="398"/>
      <c r="H47" s="402" t="n">
        <f aca="false">IF($G47&lt;&gt;"",$G47,Projects!$C$40)</f>
        <v>70</v>
      </c>
      <c r="I47" s="403"/>
      <c r="J47" s="400"/>
      <c r="K47" s="398"/>
      <c r="L47" s="400"/>
      <c r="M47" s="398"/>
      <c r="N47" s="403"/>
      <c r="O47" s="400"/>
      <c r="P47" s="398"/>
      <c r="Q47" s="400"/>
      <c r="R47" s="398"/>
      <c r="S47" s="402" t="n">
        <f aca="false">IF(AND($C47="Yes",$D47="Yes"),1,0)</f>
        <v>0</v>
      </c>
      <c r="T47" s="401" t="n">
        <f aca="false">$S47*IF($J47&lt;&gt;"",$J47,$F47*IF($I47&lt;&gt;"",$I47,$C$4)/(1+IF($I47&lt;&gt;"",$I47,$C$4)))</f>
        <v>0</v>
      </c>
      <c r="U47" s="401" t="n">
        <f aca="false">$S47*IF($L47&lt;&gt;"",$L47,$F47*$C$5)</f>
        <v>0</v>
      </c>
      <c r="V47" s="401" t="n">
        <f aca="false">$S47*$F47*IF($N47&lt;&gt;"",$N47,$C$6)</f>
        <v>0</v>
      </c>
      <c r="W47" s="401" t="n">
        <f aca="false">MAX(0,$V47-$U47)</f>
        <v>0</v>
      </c>
      <c r="X47" s="402" t="n">
        <f aca="false">IF($B47&lt;&gt;"",$B47,100+$H47)</f>
        <v>170</v>
      </c>
      <c r="Y47" s="401" t="n">
        <f aca="false">$S47*MAX(0,MIN($W47,$C$7-SUMIFS($W$11:$W$54,$X$11:$X$54,"&lt;"&amp;$X47)))</f>
        <v>0</v>
      </c>
      <c r="Z47" s="401" t="n">
        <f aca="false">$W47-$Y47</f>
        <v>0</v>
      </c>
      <c r="AA47" s="404" t="n">
        <f aca="false">$S47*($T47-$U47-$Z47)</f>
        <v>0</v>
      </c>
      <c r="AB47" s="404" t="n">
        <f aca="false">$S47*($T47-$U47)</f>
        <v>0</v>
      </c>
      <c r="AC47" s="401" t="n">
        <f aca="false">IF(AND($S47=1,$H47&lt;=$C$8),$Z47-N($O47),0)</f>
        <v>0</v>
      </c>
      <c r="AD47" s="405"/>
    </row>
    <row r="48" customFormat="false" ht="15" hidden="false" customHeight="true" outlineLevel="0" collapsed="false">
      <c r="A48" s="406" t="str">
        <f aca="false">Projects!$A$41</f>
        <v>BD-25</v>
      </c>
      <c r="B48" s="398"/>
      <c r="C48" s="407" t="str">
        <f aca="false">Projects!$F$41</f>
        <v>No</v>
      </c>
      <c r="D48" s="407" t="str">
        <f aca="false">Projects!$G$41</f>
        <v>No</v>
      </c>
      <c r="E48" s="400"/>
      <c r="F48" s="408" t="n">
        <f aca="false">IF($E48&lt;&gt;"",$E48,Projects!$B$41)</f>
        <v>15000000</v>
      </c>
      <c r="G48" s="398"/>
      <c r="H48" s="409" t="n">
        <f aca="false">IF($G48&lt;&gt;"",$G48,Projects!$C$41)</f>
        <v>72</v>
      </c>
      <c r="I48" s="403"/>
      <c r="J48" s="400"/>
      <c r="K48" s="398"/>
      <c r="L48" s="400"/>
      <c r="M48" s="398"/>
      <c r="N48" s="403"/>
      <c r="O48" s="400"/>
      <c r="P48" s="398"/>
      <c r="Q48" s="400"/>
      <c r="R48" s="398"/>
      <c r="S48" s="409" t="n">
        <f aca="false">IF(AND($C48="Yes",$D48="Yes"),1,0)</f>
        <v>0</v>
      </c>
      <c r="T48" s="408" t="n">
        <f aca="false">$S48*IF($J48&lt;&gt;"",$J48,$F48*IF($I48&lt;&gt;"",$I48,$C$4)/(1+IF($I48&lt;&gt;"",$I48,$C$4)))</f>
        <v>0</v>
      </c>
      <c r="U48" s="408" t="n">
        <f aca="false">$S48*IF($L48&lt;&gt;"",$L48,$F48*$C$5)</f>
        <v>0</v>
      </c>
      <c r="V48" s="408" t="n">
        <f aca="false">$S48*$F48*IF($N48&lt;&gt;"",$N48,$C$6)</f>
        <v>0</v>
      </c>
      <c r="W48" s="408" t="n">
        <f aca="false">MAX(0,$V48-$U48)</f>
        <v>0</v>
      </c>
      <c r="X48" s="409" t="n">
        <f aca="false">IF($B48&lt;&gt;"",$B48,100+$H48)</f>
        <v>172</v>
      </c>
      <c r="Y48" s="408" t="n">
        <f aca="false">$S48*MAX(0,MIN($W48,$C$7-SUMIFS($W$11:$W$54,$X$11:$X$54,"&lt;"&amp;$X48)))</f>
        <v>0</v>
      </c>
      <c r="Z48" s="408" t="n">
        <f aca="false">$W48-$Y48</f>
        <v>0</v>
      </c>
      <c r="AA48" s="410" t="n">
        <f aca="false">$S48*($T48-$U48-$Z48)</f>
        <v>0</v>
      </c>
      <c r="AB48" s="410" t="n">
        <f aca="false">$S48*($T48-$U48)</f>
        <v>0</v>
      </c>
      <c r="AC48" s="408" t="n">
        <f aca="false">IF(AND($S48=1,$H48&lt;=$C$8),$Z48-N($O48),0)</f>
        <v>0</v>
      </c>
      <c r="AD48" s="411"/>
    </row>
    <row r="49" customFormat="false" ht="15" hidden="false" customHeight="true" outlineLevel="0" collapsed="false">
      <c r="A49" s="397" t="str">
        <f aca="false">Projects!$A$42</f>
        <v>BD-26</v>
      </c>
      <c r="B49" s="398"/>
      <c r="C49" s="399" t="str">
        <f aca="false">Projects!$F$42</f>
        <v>No</v>
      </c>
      <c r="D49" s="399" t="str">
        <f aca="false">Projects!$G$42</f>
        <v>No</v>
      </c>
      <c r="E49" s="400"/>
      <c r="F49" s="401" t="n">
        <f aca="false">IF($E49&lt;&gt;"",$E49,Projects!$B$42)</f>
        <v>18000000</v>
      </c>
      <c r="G49" s="398"/>
      <c r="H49" s="402" t="n">
        <f aca="false">IF($G49&lt;&gt;"",$G49,Projects!$C$42)</f>
        <v>74</v>
      </c>
      <c r="I49" s="403"/>
      <c r="J49" s="400"/>
      <c r="K49" s="398"/>
      <c r="L49" s="400"/>
      <c r="M49" s="398"/>
      <c r="N49" s="403"/>
      <c r="O49" s="400"/>
      <c r="P49" s="398"/>
      <c r="Q49" s="400"/>
      <c r="R49" s="398"/>
      <c r="S49" s="402" t="n">
        <f aca="false">IF(AND($C49="Yes",$D49="Yes"),1,0)</f>
        <v>0</v>
      </c>
      <c r="T49" s="401" t="n">
        <f aca="false">$S49*IF($J49&lt;&gt;"",$J49,$F49*IF($I49&lt;&gt;"",$I49,$C$4)/(1+IF($I49&lt;&gt;"",$I49,$C$4)))</f>
        <v>0</v>
      </c>
      <c r="U49" s="401" t="n">
        <f aca="false">$S49*IF($L49&lt;&gt;"",$L49,$F49*$C$5)</f>
        <v>0</v>
      </c>
      <c r="V49" s="401" t="n">
        <f aca="false">$S49*$F49*IF($N49&lt;&gt;"",$N49,$C$6)</f>
        <v>0</v>
      </c>
      <c r="W49" s="401" t="n">
        <f aca="false">MAX(0,$V49-$U49)</f>
        <v>0</v>
      </c>
      <c r="X49" s="402" t="n">
        <f aca="false">IF($B49&lt;&gt;"",$B49,100+$H49)</f>
        <v>174</v>
      </c>
      <c r="Y49" s="401" t="n">
        <f aca="false">$S49*MAX(0,MIN($W49,$C$7-SUMIFS($W$11:$W$54,$X$11:$X$54,"&lt;"&amp;$X49)))</f>
        <v>0</v>
      </c>
      <c r="Z49" s="401" t="n">
        <f aca="false">$W49-$Y49</f>
        <v>0</v>
      </c>
      <c r="AA49" s="404" t="n">
        <f aca="false">$S49*($T49-$U49-$Z49)</f>
        <v>0</v>
      </c>
      <c r="AB49" s="404" t="n">
        <f aca="false">$S49*($T49-$U49)</f>
        <v>0</v>
      </c>
      <c r="AC49" s="401" t="n">
        <f aca="false">IF(AND($S49=1,$H49&lt;=$C$8),$Z49-N($O49),0)</f>
        <v>0</v>
      </c>
      <c r="AD49" s="405"/>
    </row>
    <row r="50" customFormat="false" ht="15" hidden="false" customHeight="true" outlineLevel="0" collapsed="false">
      <c r="A50" s="406" t="str">
        <f aca="false">Projects!$A$43</f>
        <v>BD-27</v>
      </c>
      <c r="B50" s="398"/>
      <c r="C50" s="407" t="str">
        <f aca="false">Projects!$F$43</f>
        <v>No</v>
      </c>
      <c r="D50" s="407" t="str">
        <f aca="false">Projects!$G$43</f>
        <v>No</v>
      </c>
      <c r="E50" s="400"/>
      <c r="F50" s="408" t="n">
        <f aca="false">IF($E50&lt;&gt;"",$E50,Projects!$B$43)</f>
        <v>15000000</v>
      </c>
      <c r="G50" s="398"/>
      <c r="H50" s="409" t="n">
        <f aca="false">IF($G50&lt;&gt;"",$G50,Projects!$C$43)</f>
        <v>76</v>
      </c>
      <c r="I50" s="403"/>
      <c r="J50" s="400"/>
      <c r="K50" s="398"/>
      <c r="L50" s="400"/>
      <c r="M50" s="398"/>
      <c r="N50" s="403"/>
      <c r="O50" s="400"/>
      <c r="P50" s="398"/>
      <c r="Q50" s="400"/>
      <c r="R50" s="398"/>
      <c r="S50" s="409" t="n">
        <f aca="false">IF(AND($C50="Yes",$D50="Yes"),1,0)</f>
        <v>0</v>
      </c>
      <c r="T50" s="408" t="n">
        <f aca="false">$S50*IF($J50&lt;&gt;"",$J50,$F50*IF($I50&lt;&gt;"",$I50,$C$4)/(1+IF($I50&lt;&gt;"",$I50,$C$4)))</f>
        <v>0</v>
      </c>
      <c r="U50" s="408" t="n">
        <f aca="false">$S50*IF($L50&lt;&gt;"",$L50,$F50*$C$5)</f>
        <v>0</v>
      </c>
      <c r="V50" s="408" t="n">
        <f aca="false">$S50*$F50*IF($N50&lt;&gt;"",$N50,$C$6)</f>
        <v>0</v>
      </c>
      <c r="W50" s="408" t="n">
        <f aca="false">MAX(0,$V50-$U50)</f>
        <v>0</v>
      </c>
      <c r="X50" s="409" t="n">
        <f aca="false">IF($B50&lt;&gt;"",$B50,100+$H50)</f>
        <v>176</v>
      </c>
      <c r="Y50" s="408" t="n">
        <f aca="false">$S50*MAX(0,MIN($W50,$C$7-SUMIFS($W$11:$W$54,$X$11:$X$54,"&lt;"&amp;$X50)))</f>
        <v>0</v>
      </c>
      <c r="Z50" s="408" t="n">
        <f aca="false">$W50-$Y50</f>
        <v>0</v>
      </c>
      <c r="AA50" s="410" t="n">
        <f aca="false">$S50*($T50-$U50-$Z50)</f>
        <v>0</v>
      </c>
      <c r="AB50" s="410" t="n">
        <f aca="false">$S50*($T50-$U50)</f>
        <v>0</v>
      </c>
      <c r="AC50" s="408" t="n">
        <f aca="false">IF(AND($S50=1,$H50&lt;=$C$8),$Z50-N($O50),0)</f>
        <v>0</v>
      </c>
      <c r="AD50" s="411"/>
    </row>
    <row r="51" customFormat="false" ht="15" hidden="false" customHeight="true" outlineLevel="0" collapsed="false">
      <c r="A51" s="397" t="str">
        <f aca="false">Projects!$A$44</f>
        <v>BD-28</v>
      </c>
      <c r="B51" s="398"/>
      <c r="C51" s="399" t="str">
        <f aca="false">Projects!$F$44</f>
        <v>No</v>
      </c>
      <c r="D51" s="399" t="str">
        <f aca="false">Projects!$G$44</f>
        <v>No</v>
      </c>
      <c r="E51" s="400"/>
      <c r="F51" s="401" t="n">
        <f aca="false">IF($E51&lt;&gt;"",$E51,Projects!$B$44)</f>
        <v>15000000</v>
      </c>
      <c r="G51" s="398"/>
      <c r="H51" s="402" t="n">
        <f aca="false">IF($G51&lt;&gt;"",$G51,Projects!$C$44)</f>
        <v>78</v>
      </c>
      <c r="I51" s="403"/>
      <c r="J51" s="400"/>
      <c r="K51" s="398"/>
      <c r="L51" s="400"/>
      <c r="M51" s="398"/>
      <c r="N51" s="403"/>
      <c r="O51" s="400"/>
      <c r="P51" s="398"/>
      <c r="Q51" s="400"/>
      <c r="R51" s="398"/>
      <c r="S51" s="402" t="n">
        <f aca="false">IF(AND($C51="Yes",$D51="Yes"),1,0)</f>
        <v>0</v>
      </c>
      <c r="T51" s="401" t="n">
        <f aca="false">$S51*IF($J51&lt;&gt;"",$J51,$F51*IF($I51&lt;&gt;"",$I51,$C$4)/(1+IF($I51&lt;&gt;"",$I51,$C$4)))</f>
        <v>0</v>
      </c>
      <c r="U51" s="401" t="n">
        <f aca="false">$S51*IF($L51&lt;&gt;"",$L51,$F51*$C$5)</f>
        <v>0</v>
      </c>
      <c r="V51" s="401" t="n">
        <f aca="false">$S51*$F51*IF($N51&lt;&gt;"",$N51,$C$6)</f>
        <v>0</v>
      </c>
      <c r="W51" s="401" t="n">
        <f aca="false">MAX(0,$V51-$U51)</f>
        <v>0</v>
      </c>
      <c r="X51" s="402" t="n">
        <f aca="false">IF($B51&lt;&gt;"",$B51,100+$H51)</f>
        <v>178</v>
      </c>
      <c r="Y51" s="401" t="n">
        <f aca="false">$S51*MAX(0,MIN($W51,$C$7-SUMIFS($W$11:$W$54,$X$11:$X$54,"&lt;"&amp;$X51)))</f>
        <v>0</v>
      </c>
      <c r="Z51" s="401" t="n">
        <f aca="false">$W51-$Y51</f>
        <v>0</v>
      </c>
      <c r="AA51" s="404" t="n">
        <f aca="false">$S51*($T51-$U51-$Z51)</f>
        <v>0</v>
      </c>
      <c r="AB51" s="404" t="n">
        <f aca="false">$S51*($T51-$U51)</f>
        <v>0</v>
      </c>
      <c r="AC51" s="401" t="n">
        <f aca="false">IF(AND($S51=1,$H51&lt;=$C$8),$Z51-N($O51),0)</f>
        <v>0</v>
      </c>
      <c r="AD51" s="405"/>
    </row>
    <row r="52" customFormat="false" ht="15" hidden="false" customHeight="true" outlineLevel="0" collapsed="false">
      <c r="A52" s="406" t="str">
        <f aca="false">Projects!$A$45</f>
        <v>BD-29</v>
      </c>
      <c r="B52" s="398"/>
      <c r="C52" s="407" t="str">
        <f aca="false">Projects!$F$45</f>
        <v>No</v>
      </c>
      <c r="D52" s="407" t="str">
        <f aca="false">Projects!$G$45</f>
        <v>No</v>
      </c>
      <c r="E52" s="400"/>
      <c r="F52" s="408" t="n">
        <f aca="false">IF($E52&lt;&gt;"",$E52,Projects!$B$45)</f>
        <v>18000000</v>
      </c>
      <c r="G52" s="398"/>
      <c r="H52" s="409" t="n">
        <f aca="false">IF($G52&lt;&gt;"",$G52,Projects!$C$45)</f>
        <v>80</v>
      </c>
      <c r="I52" s="403"/>
      <c r="J52" s="400"/>
      <c r="K52" s="398"/>
      <c r="L52" s="400"/>
      <c r="M52" s="398"/>
      <c r="N52" s="403"/>
      <c r="O52" s="400"/>
      <c r="P52" s="398"/>
      <c r="Q52" s="400"/>
      <c r="R52" s="398"/>
      <c r="S52" s="409" t="n">
        <f aca="false">IF(AND($C52="Yes",$D52="Yes"),1,0)</f>
        <v>0</v>
      </c>
      <c r="T52" s="408" t="n">
        <f aca="false">$S52*IF($J52&lt;&gt;"",$J52,$F52*IF($I52&lt;&gt;"",$I52,$C$4)/(1+IF($I52&lt;&gt;"",$I52,$C$4)))</f>
        <v>0</v>
      </c>
      <c r="U52" s="408" t="n">
        <f aca="false">$S52*IF($L52&lt;&gt;"",$L52,$F52*$C$5)</f>
        <v>0</v>
      </c>
      <c r="V52" s="408" t="n">
        <f aca="false">$S52*$F52*IF($N52&lt;&gt;"",$N52,$C$6)</f>
        <v>0</v>
      </c>
      <c r="W52" s="408" t="n">
        <f aca="false">MAX(0,$V52-$U52)</f>
        <v>0</v>
      </c>
      <c r="X52" s="409" t="n">
        <f aca="false">IF($B52&lt;&gt;"",$B52,100+$H52)</f>
        <v>180</v>
      </c>
      <c r="Y52" s="408" t="n">
        <f aca="false">$S52*MAX(0,MIN($W52,$C$7-SUMIFS($W$11:$W$54,$X$11:$X$54,"&lt;"&amp;$X52)))</f>
        <v>0</v>
      </c>
      <c r="Z52" s="408" t="n">
        <f aca="false">$W52-$Y52</f>
        <v>0</v>
      </c>
      <c r="AA52" s="410" t="n">
        <f aca="false">$S52*($T52-$U52-$Z52)</f>
        <v>0</v>
      </c>
      <c r="AB52" s="410" t="n">
        <f aca="false">$S52*($T52-$U52)</f>
        <v>0</v>
      </c>
      <c r="AC52" s="408" t="n">
        <f aca="false">IF(AND($S52=1,$H52&lt;=$C$8),$Z52-N($O52),0)</f>
        <v>0</v>
      </c>
      <c r="AD52" s="411"/>
    </row>
    <row r="53" customFormat="false" ht="15" hidden="false" customHeight="true" outlineLevel="0" collapsed="false">
      <c r="A53" s="397" t="str">
        <f aca="false">Projects!$A$46</f>
        <v>BD-30</v>
      </c>
      <c r="B53" s="398"/>
      <c r="C53" s="399" t="str">
        <f aca="false">Projects!$F$46</f>
        <v>Yes</v>
      </c>
      <c r="D53" s="399" t="str">
        <f aca="false">Projects!$G$46</f>
        <v>No</v>
      </c>
      <c r="E53" s="400"/>
      <c r="F53" s="401" t="n">
        <f aca="false">IF($E53&lt;&gt;"",$E53,Projects!$B$46)</f>
        <v>15000000</v>
      </c>
      <c r="G53" s="398"/>
      <c r="H53" s="402" t="n">
        <f aca="false">IF($G53&lt;&gt;"",$G53,Projects!$C$46)</f>
        <v>82</v>
      </c>
      <c r="I53" s="403"/>
      <c r="J53" s="400"/>
      <c r="K53" s="398"/>
      <c r="L53" s="400"/>
      <c r="M53" s="398"/>
      <c r="N53" s="403"/>
      <c r="O53" s="400"/>
      <c r="P53" s="398"/>
      <c r="Q53" s="400"/>
      <c r="R53" s="398"/>
      <c r="S53" s="402" t="n">
        <f aca="false">IF(AND($C53="Yes",$D53="Yes"),1,0)</f>
        <v>0</v>
      </c>
      <c r="T53" s="401" t="n">
        <f aca="false">$S53*IF($J53&lt;&gt;"",$J53,$F53*IF($I53&lt;&gt;"",$I53,$C$4)/(1+IF($I53&lt;&gt;"",$I53,$C$4)))</f>
        <v>0</v>
      </c>
      <c r="U53" s="401" t="n">
        <f aca="false">$S53*IF($L53&lt;&gt;"",$L53,$F53*$C$5)</f>
        <v>0</v>
      </c>
      <c r="V53" s="401" t="n">
        <f aca="false">$S53*$F53*IF($N53&lt;&gt;"",$N53,$C$6)</f>
        <v>0</v>
      </c>
      <c r="W53" s="401" t="n">
        <f aca="false">MAX(0,$V53-$U53)</f>
        <v>0</v>
      </c>
      <c r="X53" s="402" t="n">
        <f aca="false">IF($B53&lt;&gt;"",$B53,100+$H53)</f>
        <v>182</v>
      </c>
      <c r="Y53" s="401" t="n">
        <f aca="false">$S53*MAX(0,MIN($W53,$C$7-SUMIFS($W$11:$W$54,$X$11:$X$54,"&lt;"&amp;$X53)))</f>
        <v>0</v>
      </c>
      <c r="Z53" s="401" t="n">
        <f aca="false">$W53-$Y53</f>
        <v>0</v>
      </c>
      <c r="AA53" s="404" t="n">
        <f aca="false">$S53*($T53-$U53-$Z53)</f>
        <v>0</v>
      </c>
      <c r="AB53" s="404" t="n">
        <f aca="false">$S53*($T53-$U53)</f>
        <v>0</v>
      </c>
      <c r="AC53" s="401" t="n">
        <f aca="false">IF(AND($S53=1,$H53&lt;=$C$8),$Z53-N($O53),0)</f>
        <v>0</v>
      </c>
      <c r="AD53" s="405"/>
    </row>
    <row r="54" customFormat="false" ht="15" hidden="false" customHeight="true" outlineLevel="0" collapsed="false">
      <c r="A54" s="406" t="s">
        <v>50</v>
      </c>
      <c r="B54" s="398"/>
      <c r="C54" s="407" t="s">
        <v>571</v>
      </c>
      <c r="D54" s="407" t="s">
        <v>571</v>
      </c>
      <c r="E54" s="400"/>
      <c r="F54" s="408" t="n">
        <v>0</v>
      </c>
      <c r="G54" s="398"/>
      <c r="H54" s="409" t="n">
        <v>0</v>
      </c>
      <c r="I54" s="403"/>
      <c r="J54" s="400"/>
      <c r="K54" s="398"/>
      <c r="L54" s="400"/>
      <c r="M54" s="398"/>
      <c r="N54" s="403"/>
      <c r="O54" s="400"/>
      <c r="P54" s="398"/>
      <c r="Q54" s="400"/>
      <c r="R54" s="398"/>
      <c r="S54" s="409" t="n">
        <f aca="false">IF(AND($C54="Yes",$D54="Yes"),1,0)</f>
        <v>0</v>
      </c>
      <c r="T54" s="408" t="n">
        <f aca="false">$S54*IF($J54&lt;&gt;"",$J54,$F54*IF($I54&lt;&gt;"",$I54,$C$4)/(1+IF($I54&lt;&gt;"",$I54,$C$4)))</f>
        <v>0</v>
      </c>
      <c r="U54" s="408" t="n">
        <f aca="false">$S54*IF($L54&lt;&gt;"",$L54,$F54*$C$5)</f>
        <v>0</v>
      </c>
      <c r="V54" s="408" t="n">
        <f aca="false">$S54*$F54*IF($N54&lt;&gt;"",$N54,$C$6)</f>
        <v>0</v>
      </c>
      <c r="W54" s="408" t="n">
        <f aca="false">MAX(0,$V54-$U54)</f>
        <v>0</v>
      </c>
      <c r="X54" s="409" t="n">
        <f aca="false">IF($B54&lt;&gt;"",$B54,100+$H54)</f>
        <v>100</v>
      </c>
      <c r="Y54" s="408" t="n">
        <f aca="false">$S54*MAX(0,MIN($W54,$C$7-SUMIFS($W$11:$W$54,$X$11:$X$54,"&lt;"&amp;$X54)))</f>
        <v>0</v>
      </c>
      <c r="Z54" s="408" t="n">
        <f aca="false">$W54-$Y54</f>
        <v>0</v>
      </c>
      <c r="AA54" s="410" t="n">
        <f aca="false">$S54*($T54-$U54-$Z54)</f>
        <v>0</v>
      </c>
      <c r="AB54" s="410" t="n">
        <f aca="false">$S54*($T54-$U54)</f>
        <v>0</v>
      </c>
      <c r="AC54" s="408" t="n">
        <f aca="false">IF(AND($S54=1,$H54&lt;=$C$8),$Z54-N($O54),0)</f>
        <v>0</v>
      </c>
      <c r="AD54" s="411"/>
    </row>
    <row r="56" customFormat="false" ht="15.75" hidden="false" customHeight="true" outlineLevel="0" collapsed="false">
      <c r="A56" s="412" t="s">
        <v>476</v>
      </c>
      <c r="B56" s="413"/>
      <c r="C56" s="413"/>
      <c r="D56" s="413"/>
      <c r="E56" s="413"/>
      <c r="F56" s="413"/>
      <c r="G56" s="413"/>
      <c r="H56" s="413"/>
      <c r="I56" s="413"/>
      <c r="J56" s="413"/>
      <c r="K56" s="413"/>
      <c r="L56" s="413"/>
      <c r="M56" s="413"/>
      <c r="N56" s="413"/>
      <c r="O56" s="413"/>
      <c r="P56" s="413"/>
      <c r="Q56" s="413"/>
      <c r="R56" s="413"/>
      <c r="S56" s="413"/>
      <c r="T56" s="413" t="n">
        <f aca="false">SUM(T11:T54)</f>
        <v>1982469.76231527</v>
      </c>
      <c r="U56" s="413" t="n">
        <f aca="false">SUM(U11:U54)</f>
        <v>876841.489047847</v>
      </c>
      <c r="V56" s="413" t="n">
        <f aca="false">SUM(V11:V54)</f>
        <v>3905262.557625</v>
      </c>
      <c r="W56" s="413" t="n">
        <f aca="false">SUM(W11:W54)</f>
        <v>3028421.06857715</v>
      </c>
      <c r="X56" s="413"/>
      <c r="Y56" s="413" t="n">
        <f aca="false">SUM(Y11:Y54)</f>
        <v>1800000</v>
      </c>
      <c r="Z56" s="414" t="n">
        <f aca="false">SUM(Z11:Z54)</f>
        <v>1228421.06857715</v>
      </c>
      <c r="AA56" s="414" t="n">
        <f aca="false">SUM(AA11:AA54)</f>
        <v>-122792.795309729</v>
      </c>
      <c r="AB56" s="414" t="n">
        <f aca="false">SUM(AB11:AB54)</f>
        <v>1105628.27326742</v>
      </c>
      <c r="AC56" s="414" t="n">
        <f aca="false">SUM(AC11:AC54)</f>
        <v>692876.895125</v>
      </c>
      <c r="AD56" s="413"/>
    </row>
    <row r="57" customFormat="false" ht="15" hidden="false" customHeight="true" outlineLevel="0" collapsed="false">
      <c r="A57" s="120" t="s">
        <v>1480</v>
      </c>
      <c r="C57" s="415" t="str">
        <f aca="false">IF(Y56&lt;=$C$7+0.5,"OK","OVER CAP")</f>
        <v>OK</v>
      </c>
      <c r="D57" s="390" t="s">
        <v>1481</v>
      </c>
    </row>
    <row r="58" customFormat="false" ht="15" hidden="false" customHeight="true" outlineLevel="0" collapsed="false">
      <c r="A58" s="120" t="s">
        <v>1480</v>
      </c>
      <c r="C58" s="415" t="str">
        <f aca="false">IF(ABS(SUM(Model!$B$150:$DE$150)-SUMPRODUCT((H11:H54&gt;=-2)*(H11:H54&lt;=105)*T11:T54))&lt;1,"OK","CHECK")</f>
        <v>OK</v>
      </c>
      <c r="D58" s="390" t="s">
        <v>1482</v>
      </c>
    </row>
    <row r="60" customFormat="false" ht="15" hidden="false" customHeight="true" outlineLevel="0" collapsed="false">
      <c r="A60" s="416" t="s">
        <v>1483</v>
      </c>
    </row>
    <row r="61" customFormat="false" ht="15" hidden="false" customHeight="true" outlineLevel="0" collapsed="false">
      <c r="A61" s="390" t="s">
        <v>1484</v>
      </c>
    </row>
    <row r="62" customFormat="false" ht="15" hidden="false" customHeight="true" outlineLevel="0" collapsed="false">
      <c r="A62" s="390" t="s">
        <v>1485</v>
      </c>
    </row>
    <row r="63" customFormat="false" ht="15" hidden="false" customHeight="true" outlineLevel="0" collapsed="false">
      <c r="A63" s="390" t="s">
        <v>1486</v>
      </c>
    </row>
    <row r="64" customFormat="false" ht="15" hidden="false" customHeight="true" outlineLevel="0" collapsed="false">
      <c r="A64" s="390" t="s">
        <v>1487</v>
      </c>
    </row>
    <row r="65" customFormat="false" ht="15" hidden="false" customHeight="true" outlineLevel="0" collapsed="false">
      <c r="A65" s="390" t="s">
        <v>1488</v>
      </c>
    </row>
    <row r="66" customFormat="false" ht="15" hidden="false" customHeight="true" outlineLevel="0" collapsed="false">
      <c r="A66" s="390" t="s">
        <v>1489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2026-10-06T14:31:03Z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